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80" windowWidth="10530" windowHeight="12990" firstSheet="1" activeTab="1"/>
  </bookViews>
  <sheets>
    <sheet name="License" sheetId="1" r:id="rId1"/>
    <sheet name="Brauprotokoll" sheetId="2" r:id="rId2"/>
    <sheet name="Würzebereitung" sheetId="3" r:id="rId3"/>
    <sheet name="System" sheetId="4" r:id="rId4"/>
  </sheets>
  <definedNames>
    <definedName name="_xlnm.Print_Area" localSheetId="1">'Brauprotokoll'!$A$1:$K$71</definedName>
    <definedName name="_xlnm.Print_Area" localSheetId="2">'Würzebereitung'!$A$102:$K$159</definedName>
  </definedNames>
  <calcPr fullCalcOnLoad="1" iterate="1" iterateCount="256" iterateDelta="0.001"/>
</workbook>
</file>

<file path=xl/comments2.xml><?xml version="1.0" encoding="utf-8"?>
<comments xmlns="http://schemas.openxmlformats.org/spreadsheetml/2006/main">
  <authors>
    <author>Hubert Hanghofer</author>
    <author>Ing. Hubert Hanghofer</author>
  </authors>
  <commentList>
    <comment ref="H21" authorId="0">
      <text>
        <r>
          <rPr>
            <sz val="8"/>
            <rFont val="Tahoma"/>
            <family val="2"/>
          </rPr>
          <t xml:space="preserve">Die Carbonathärte wird aus der Säurekapazität errechnet. Wenn die Carbonathärte in der Wasseranalyse jedoch angegeben ist, kann diese Formel überschrieben werden!
</t>
        </r>
      </text>
    </comment>
    <comment ref="F37" authorId="0">
      <text>
        <r>
          <rPr>
            <b/>
            <sz val="8"/>
            <rFont val="Tahoma"/>
            <family val="2"/>
          </rPr>
          <t>wenn der errechnete Wert mit der gemessenen Menge nicht übereinstimmt, sollten die Systemkonstanten optimiert werden.</t>
        </r>
      </text>
    </comment>
    <comment ref="C63" authorId="1">
      <text>
        <r>
          <rPr>
            <b/>
            <sz val="8"/>
            <rFont val="Tahoma"/>
            <family val="2"/>
          </rPr>
          <t>Verluste durch Hefesediment, Hefeernte, Blow-Off...</t>
        </r>
      </text>
    </comment>
    <comment ref="J66" authorId="1">
      <text>
        <r>
          <rPr>
            <b/>
            <sz val="8"/>
            <rFont val="Tahoma"/>
            <family val="2"/>
          </rPr>
          <t>Diesen Wert nur bei Verwendung eines Spundungsapparates anpassen. Standardmäßig wird der sich einstellende Flaschendruck errechnet.</t>
        </r>
      </text>
    </comment>
    <comment ref="K64" authorId="1">
      <text>
        <r>
          <rPr>
            <b/>
            <sz val="8"/>
            <rFont val="Tahoma"/>
            <family val="2"/>
          </rPr>
          <t>je nach Biertyp und Kühlmöglichkeit 3,5-8g/L anstreben. 4,5-6g sind gute "Allround"-Werte.</t>
        </r>
      </text>
    </comment>
    <comment ref="J58" authorId="0">
      <text>
        <r>
          <rPr>
            <b/>
            <sz val="8"/>
            <rFont val="Tahoma"/>
            <family val="2"/>
          </rPr>
          <t>= Anreicherung mit Kohlensäure.</t>
        </r>
      </text>
    </comment>
    <comment ref="B22" authorId="1">
      <text>
        <r>
          <rPr>
            <b/>
            <sz val="8"/>
            <rFont val="Tahoma"/>
            <family val="2"/>
          </rPr>
          <t>EBC-Bierfarbe</t>
        </r>
      </text>
    </comment>
    <comment ref="E35" authorId="1">
      <text>
        <r>
          <rPr>
            <b/>
            <sz val="8"/>
            <rFont val="Tahoma"/>
            <family val="2"/>
          </rPr>
          <t>Nur bei Dekoktionsverfahren: Gesamte Kochzeit der Dekoktion(en)</t>
        </r>
      </text>
    </comment>
    <comment ref="I20" authorId="1">
      <text>
        <r>
          <rPr>
            <b/>
            <sz val="8"/>
            <rFont val="Tahoma"/>
            <family val="2"/>
          </rPr>
          <t>Milchsäure- und Sauermalzgaben werden berücksichtigt.</t>
        </r>
      </text>
    </comment>
    <comment ref="L1" authorId="1">
      <text>
        <r>
          <rPr>
            <b/>
            <sz val="8"/>
            <rFont val="Tahoma"/>
            <family val="2"/>
          </rPr>
          <t>Zirkelbezüge sind beabsichtigt und werden aufgelöst durch Anklicken der Option ITERATION im Register Berechnen (Menü Extras / Optionen)</t>
        </r>
      </text>
    </comment>
    <comment ref="F40" authorId="0">
      <text>
        <r>
          <rPr>
            <b/>
            <sz val="8"/>
            <rFont val="Tahoma"/>
            <family val="2"/>
          </rPr>
          <t>Wassermenge zum Einstellen der Stammwürze</t>
        </r>
      </text>
    </comment>
    <comment ref="F36" authorId="0">
      <text>
        <r>
          <rPr>
            <b/>
            <sz val="10"/>
            <rFont val="Tahoma"/>
            <family val="2"/>
          </rPr>
          <t>Hubert Hanghofer:</t>
        </r>
        <r>
          <rPr>
            <sz val="10"/>
            <rFont val="Tahoma"/>
            <family val="2"/>
          </rPr>
          <t xml:space="preserve">
(Hauptguss + Nachguss + Schüttung - Nasstreber - Verdampfung)/Dichte
Dichte = S.G. * dH2O</t>
        </r>
      </text>
    </comment>
    <comment ref="H25" authorId="0">
      <text>
        <r>
          <rPr>
            <b/>
            <sz val="10"/>
            <rFont val="Tahoma"/>
            <family val="2"/>
          </rPr>
          <t>Hubert Hanghofer:</t>
        </r>
        <r>
          <rPr>
            <sz val="10"/>
            <rFont val="Tahoma"/>
            <family val="2"/>
          </rPr>
          <t xml:space="preserve">
Incl. Terpenrast nach Hopfengabe (zur Aromabindung durch Autoxidation).</t>
        </r>
      </text>
    </comment>
  </commentList>
</comments>
</file>

<file path=xl/comments3.xml><?xml version="1.0" encoding="utf-8"?>
<comments xmlns="http://schemas.openxmlformats.org/spreadsheetml/2006/main">
  <authors>
    <author>Ing. Hubert Hanghofer</author>
    <author>Hubert Hanghofer</author>
  </authors>
  <commentList>
    <comment ref="K25" authorId="0">
      <text>
        <r>
          <rPr>
            <b/>
            <sz val="8"/>
            <rFont val="Tahoma"/>
            <family val="2"/>
          </rPr>
          <t>Temperaturabfall durch Einlagern der Maische in den kalten Läuterbottich.</t>
        </r>
      </text>
    </comment>
    <comment ref="F55" authorId="0">
      <text>
        <r>
          <rPr>
            <b/>
            <sz val="8"/>
            <rFont val="Tahoma"/>
            <family val="2"/>
          </rPr>
          <t>Dauer bis zum Eintreten des nächsten Ereignisses</t>
        </r>
      </text>
    </comment>
    <comment ref="K70" authorId="0">
      <text>
        <r>
          <rPr>
            <b/>
            <sz val="8"/>
            <rFont val="Tahoma"/>
            <family val="2"/>
          </rPr>
          <t>Temperaturabfall durch Einlagern der Maische in den kalten Läuterbottich.</t>
        </r>
      </text>
    </comment>
    <comment ref="G72" authorId="0">
      <text>
        <r>
          <rPr>
            <b/>
            <sz val="8"/>
            <rFont val="Tahoma"/>
            <family val="2"/>
          </rPr>
          <t>Wasserverdampfung wird berücksichtigt.</t>
        </r>
      </text>
    </comment>
    <comment ref="G71" authorId="0">
      <text>
        <r>
          <rPr>
            <b/>
            <sz val="8"/>
            <rFont val="Tahoma"/>
            <family val="2"/>
          </rPr>
          <t>Dickmaischeanteil (unter 45% halten)</t>
        </r>
      </text>
    </comment>
    <comment ref="F110" authorId="0">
      <text>
        <r>
          <rPr>
            <b/>
            <sz val="8"/>
            <rFont val="Tahoma"/>
            <family val="2"/>
          </rPr>
          <t>Dauer bis zum Eintreten des nächsten Ereignisses</t>
        </r>
      </text>
    </comment>
    <comment ref="H111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K111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H56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K56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H9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  <comment ref="K9" authorId="1">
      <text>
        <r>
          <rPr>
            <b/>
            <sz val="8"/>
            <rFont val="Tahoma"/>
            <family val="2"/>
          </rPr>
          <t>die Temperaturen beziehen sich immer auf den Beginn des aktuellen Ereignisses.</t>
        </r>
      </text>
    </comment>
  </commentList>
</comments>
</file>

<file path=xl/comments4.xml><?xml version="1.0" encoding="utf-8"?>
<comments xmlns="http://schemas.openxmlformats.org/spreadsheetml/2006/main">
  <authors>
    <author>Hubert Hanghofer</author>
  </authors>
  <commentList>
    <comment ref="B14" authorId="0">
      <text>
        <r>
          <rPr>
            <b/>
            <sz val="8"/>
            <rFont val="Tahoma"/>
            <family val="2"/>
          </rPr>
          <t>wird mit Maische kalibriert, ist hier der Wert Hauptguß+0,32*Schüttung einzutragen.</t>
        </r>
      </text>
    </comment>
    <comment ref="B5" authorId="0">
      <text>
        <r>
          <rPr>
            <b/>
            <sz val="8"/>
            <rFont val="Tahoma"/>
            <family val="2"/>
          </rPr>
          <t>Der Braukessel muß zu Beginn diese Umgebungstemperatur angenommen haben!</t>
        </r>
      </text>
    </comment>
    <comment ref="D5" authorId="0">
      <text>
        <r>
          <rPr>
            <b/>
            <sz val="8"/>
            <rFont val="Tahoma"/>
            <family val="2"/>
          </rPr>
          <t>Der Bottich muß zu Beginn diese Umgebungstemperatur angenommen haben.</t>
        </r>
      </text>
    </comment>
  </commentList>
</comments>
</file>

<file path=xl/sharedStrings.xml><?xml version="1.0" encoding="utf-8"?>
<sst xmlns="http://schemas.openxmlformats.org/spreadsheetml/2006/main" count="405" uniqueCount="274">
  <si>
    <t>L</t>
  </si>
  <si>
    <t>kW</t>
  </si>
  <si>
    <t>kg</t>
  </si>
  <si>
    <t>thermische Masse gesamt</t>
  </si>
  <si>
    <t>Heißwassertemp.</t>
  </si>
  <si>
    <t>Temp. Nach 5 Minuten</t>
  </si>
  <si>
    <t>Temp. Nach 65 Minuten</t>
  </si>
  <si>
    <t>°C</t>
  </si>
  <si>
    <t>thermische Masse</t>
  </si>
  <si>
    <t>Ausgangs- / Ugebungstemp.</t>
  </si>
  <si>
    <t>Braukessel</t>
  </si>
  <si>
    <t>Maisch- / Läuterbottich</t>
  </si>
  <si>
    <t>Wärmekapazität Malz relativ zu Wasser</t>
  </si>
  <si>
    <t>L / kg Schüttung</t>
  </si>
  <si>
    <t>Verdampfungsleistung</t>
  </si>
  <si>
    <t>Heizleistung</t>
  </si>
  <si>
    <t>thermische Kapazität und Wärmeverlust</t>
  </si>
  <si>
    <t>Volumen des eingemaischten Malzschrotes</t>
  </si>
  <si>
    <t>1g Maltose od. Saccharose zerfällt in</t>
  </si>
  <si>
    <t>Sud-Nr.:</t>
  </si>
  <si>
    <t>Schüttung</t>
  </si>
  <si>
    <t>Pilsener</t>
  </si>
  <si>
    <t>Wiener</t>
  </si>
  <si>
    <t>Münchner</t>
  </si>
  <si>
    <t>Pale Ale</t>
  </si>
  <si>
    <t>Weizenmalz</t>
  </si>
  <si>
    <t>Carahell</t>
  </si>
  <si>
    <t>Sauermalz</t>
  </si>
  <si>
    <t>Gesamt:</t>
  </si>
  <si>
    <t>Zufärbung während der Würzebereitung</t>
  </si>
  <si>
    <t>EBC</t>
  </si>
  <si>
    <t>Biersorte:</t>
  </si>
  <si>
    <t>Calciumhärte</t>
  </si>
  <si>
    <t>Magnesiumhärte</t>
  </si>
  <si>
    <t>Carbonathärte</t>
  </si>
  <si>
    <t>Restalkalität</t>
  </si>
  <si>
    <t>Brauwasser</t>
  </si>
  <si>
    <t>Analyse</t>
  </si>
  <si>
    <t>Menge</t>
  </si>
  <si>
    <t>mg/L</t>
  </si>
  <si>
    <t>°dH</t>
  </si>
  <si>
    <t>mmol/L</t>
  </si>
  <si>
    <r>
      <t>Sulfat SO4</t>
    </r>
    <r>
      <rPr>
        <vertAlign val="superscript"/>
        <sz val="10"/>
        <rFont val="Arial"/>
        <family val="2"/>
      </rPr>
      <t>2-</t>
    </r>
  </si>
  <si>
    <r>
      <t>Chlorid Cl</t>
    </r>
    <r>
      <rPr>
        <vertAlign val="superscript"/>
        <sz val="10"/>
        <rFont val="Arial"/>
        <family val="2"/>
      </rPr>
      <t>-</t>
    </r>
  </si>
  <si>
    <r>
      <t>Magnesium Mg</t>
    </r>
    <r>
      <rPr>
        <vertAlign val="superscript"/>
        <sz val="10"/>
        <rFont val="Arial"/>
        <family val="2"/>
      </rPr>
      <t>2+</t>
    </r>
  </si>
  <si>
    <r>
      <t>Calcium Ca</t>
    </r>
    <r>
      <rPr>
        <vertAlign val="superscript"/>
        <sz val="10"/>
        <rFont val="Arial"/>
        <family val="2"/>
      </rPr>
      <t>2+</t>
    </r>
  </si>
  <si>
    <t>Zusätze</t>
  </si>
  <si>
    <t>Milchsäure 80%</t>
  </si>
  <si>
    <t>mL</t>
  </si>
  <si>
    <t>g</t>
  </si>
  <si>
    <r>
      <t>CaCl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*2H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</si>
  <si>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r>
      <t>CaSO</t>
    </r>
    <r>
      <rPr>
        <vertAlign val="subscript"/>
        <sz val="9"/>
        <rFont val="Arial"/>
        <family val="2"/>
      </rPr>
      <t>4</t>
    </r>
    <r>
      <rPr>
        <sz val="9"/>
        <rFont val="Arial"/>
        <family val="2"/>
      </rPr>
      <t>*2H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</si>
  <si>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Gesamthärte</t>
  </si>
  <si>
    <t>Hauptguß</t>
  </si>
  <si>
    <t>Nachguß</t>
  </si>
  <si>
    <t>Einstellen</t>
  </si>
  <si>
    <r>
      <t>Säurekapazität K</t>
    </r>
    <r>
      <rPr>
        <vertAlign val="subscript"/>
        <sz val="9"/>
        <rFont val="Arial"/>
        <family val="2"/>
      </rPr>
      <t>S</t>
    </r>
    <r>
      <rPr>
        <vertAlign val="subscript"/>
        <sz val="10"/>
        <rFont val="Arial"/>
        <family val="2"/>
      </rPr>
      <t>4,3</t>
    </r>
  </si>
  <si>
    <t>Hopfengaben</t>
  </si>
  <si>
    <t>Gabe nach</t>
  </si>
  <si>
    <t>alpha</t>
  </si>
  <si>
    <t>Kochzeit</t>
  </si>
  <si>
    <t>IBU =</t>
  </si>
  <si>
    <t>%</t>
  </si>
  <si>
    <t>(g)</t>
  </si>
  <si>
    <t>(min)</t>
  </si>
  <si>
    <t>(mg/L)</t>
  </si>
  <si>
    <t>x</t>
  </si>
  <si>
    <t>Ausschlagwürze</t>
  </si>
  <si>
    <t>Stammwürze</t>
  </si>
  <si>
    <t>Heißtrubverluste</t>
  </si>
  <si>
    <t>Verdünnungswasser</t>
  </si>
  <si>
    <t>Speisegabe</t>
  </si>
  <si>
    <t>S.G.</t>
  </si>
  <si>
    <t>°P</t>
  </si>
  <si>
    <t>Bigness-Faktor =</t>
  </si>
  <si>
    <t>IBU</t>
  </si>
  <si>
    <t>Pellets?</t>
  </si>
  <si>
    <t>alpha-Säuren</t>
  </si>
  <si>
    <t>Würzebruch?</t>
  </si>
  <si>
    <t>IBU/°P =</t>
  </si>
  <si>
    <t>IBU/GU =</t>
  </si>
  <si>
    <t>% Ausn.</t>
  </si>
  <si>
    <t>Ende Würzekochen</t>
  </si>
  <si>
    <t>Datum:</t>
  </si>
  <si>
    <t>BRAUPROTOKOLL</t>
  </si>
  <si>
    <t>Sudhausausbeute =</t>
  </si>
  <si>
    <t>20/20°C</t>
  </si>
  <si>
    <t>Liter bei</t>
  </si>
  <si>
    <t>20°C</t>
  </si>
  <si>
    <t>Extrakt</t>
  </si>
  <si>
    <t>Gärverlauf</t>
  </si>
  <si>
    <t>Hefe - Sorte / Herkunft:</t>
  </si>
  <si>
    <t>Herführung:</t>
  </si>
  <si>
    <t>Stammwürze anstellen</t>
  </si>
  <si>
    <t>L Ausschlagwürze</t>
  </si>
  <si>
    <t>Karbonisierung</t>
  </si>
  <si>
    <t>Schnellgärprobe, endvergoren</t>
  </si>
  <si>
    <t>Rast</t>
  </si>
  <si>
    <t>min</t>
  </si>
  <si>
    <t>Dauer</t>
  </si>
  <si>
    <t>Aufheizen</t>
  </si>
  <si>
    <t>Umgebungstemp.</t>
  </si>
  <si>
    <t>Zeitpunkt</t>
  </si>
  <si>
    <t>Ereignis</t>
  </si>
  <si>
    <t>Beginn Läutern</t>
  </si>
  <si>
    <t>Beginn Würzekochen</t>
  </si>
  <si>
    <t>Zeitachse</t>
  </si>
  <si>
    <t>Gärung kommt an</t>
  </si>
  <si>
    <t>Angärzeit =</t>
  </si>
  <si>
    <r>
      <t>g CO</t>
    </r>
    <r>
      <rPr>
        <b/>
        <vertAlign val="subscript"/>
        <sz val="9"/>
        <rFont val="Arial"/>
        <family val="2"/>
      </rPr>
      <t xml:space="preserve">2 </t>
    </r>
    <r>
      <rPr>
        <b/>
        <sz val="9"/>
        <rFont val="Arial"/>
        <family val="2"/>
      </rPr>
      <t>/L</t>
    </r>
  </si>
  <si>
    <t>Vergärungsgrad =</t>
  </si>
  <si>
    <t>Bottichmaischen</t>
  </si>
  <si>
    <r>
      <t>g CO</t>
    </r>
    <r>
      <rPr>
        <vertAlign val="subscript"/>
        <sz val="9"/>
        <rFont val="Arial"/>
        <family val="2"/>
      </rPr>
      <t>2</t>
    </r>
  </si>
  <si>
    <t>L /h</t>
  </si>
  <si>
    <t>Röstgerste</t>
  </si>
  <si>
    <t>Gärkellerverluste</t>
  </si>
  <si>
    <t>erhaltene Biermenge</t>
  </si>
  <si>
    <r>
      <t>g CO</t>
    </r>
    <r>
      <rPr>
        <vertAlign val="subscript"/>
        <sz val="9"/>
        <rFont val="Arial"/>
        <family val="2"/>
      </rPr>
      <t xml:space="preserve">2 </t>
    </r>
    <r>
      <rPr>
        <sz val="9"/>
        <rFont val="Arial"/>
        <family val="2"/>
      </rPr>
      <t>/L</t>
    </r>
  </si>
  <si>
    <t>gewünschte Karbonisierung</t>
  </si>
  <si>
    <t>Maischverfahren:</t>
  </si>
  <si>
    <t>g gesamt</t>
  </si>
  <si>
    <t>Zucker (g/L)</t>
  </si>
  <si>
    <t>Trockenmalzextrakt (g/L)</t>
  </si>
  <si>
    <t>Karbonisierung durch zugesetzten od. vorhandenen Extrakt =</t>
  </si>
  <si>
    <t>Konditionierung bei</t>
  </si>
  <si>
    <t>bis</t>
  </si>
  <si>
    <t>Nächgärung, Reifung bei</t>
  </si>
  <si>
    <t>Alkoholgehalt</t>
  </si>
  <si>
    <t>kcal / 0,5L</t>
  </si>
  <si>
    <t>kJ / 0,5L</t>
  </si>
  <si>
    <t>Nährwert</t>
  </si>
  <si>
    <t>Rast (Treber absetzen lassen)</t>
  </si>
  <si>
    <t>Abmaischen (Überführen in Läuterbottich)</t>
  </si>
  <si>
    <t>Kessel</t>
  </si>
  <si>
    <t>Läuterbottich</t>
  </si>
  <si>
    <t xml:space="preserve"> ===&gt;</t>
  </si>
  <si>
    <t>Maische wird bis zum Abmaischen im Kessel geführt. Während der Rasten wird nicht geheizt.</t>
  </si>
  <si>
    <t>Kesselmaischen mit Dickmaisch-Dekoktion</t>
  </si>
  <si>
    <t>Dünnmaische überführen in Läuterbottich</t>
  </si>
  <si>
    <t>Dickmaische kochen</t>
  </si>
  <si>
    <t>Dickmaische zubrühen</t>
  </si>
  <si>
    <t>Dickmaische aufheizen</t>
  </si>
  <si>
    <t>thermische Masse Maische</t>
  </si>
  <si>
    <t>(bei 2,2L/kg)</t>
  </si>
  <si>
    <t>Kessel + Maische</t>
  </si>
  <si>
    <t>Maische wird von Beginn an im unbeheizten, aber gut isolierten Läuterbottich geführt.</t>
  </si>
  <si>
    <t>Temperaturerhöhungen erfolgen durch Zubrühen von Infusionswasser oder gekochten Teilmaischen (Dekoktion).</t>
  </si>
  <si>
    <t>Rast (Jodnormal + Treber absetzen lassen)</t>
  </si>
  <si>
    <t>davon für Speise od. Starterkulturen</t>
  </si>
  <si>
    <t>Verdünnungsfaktor=</t>
  </si>
  <si>
    <t>Maische wird im Kessel geführt, abschließend wird eine Dünnmaische in den Läuterbottich überführt.</t>
  </si>
  <si>
    <t>Bitte wählen Sie ein Maischverfahren und klicken Sie auf das zugehörige [+] in der Gliederungsebene 1, um die Details einzublenden!</t>
  </si>
  <si>
    <t>Kesselmaischen (Infusion)</t>
  </si>
  <si>
    <t>eingefüllte Heißwassermenge</t>
  </si>
  <si>
    <t>Schüttung einmaischen</t>
  </si>
  <si>
    <t>Einmaischwasser =&gt; Bottich</t>
  </si>
  <si>
    <t>Verzuckerungsrast Kochmaische</t>
  </si>
  <si>
    <t>Teilmaische Kochen</t>
  </si>
  <si>
    <t>Teilmaische Aufheizen</t>
  </si>
  <si>
    <t>Kochmaische zubrühen</t>
  </si>
  <si>
    <t xml:space="preserve"> &lt;===</t>
  </si>
  <si>
    <t>1. Kochmaische ziehen und aufheizen</t>
  </si>
  <si>
    <t>2. Kochmaische ziehen und aufheizen</t>
  </si>
  <si>
    <t>Bottichrast</t>
  </si>
  <si>
    <t>Hauptguß vorwärmen</t>
  </si>
  <si>
    <t>mittlere rel. Wärmekapazität der Maische</t>
  </si>
  <si>
    <t>Bottich</t>
  </si>
  <si>
    <t>Zwischenergebnisse</t>
  </si>
  <si>
    <t>thermische Masse ges. (kg)</t>
  </si>
  <si>
    <t>Hinweise:</t>
  </si>
  <si>
    <t>Dieser Brauplan ist deshalb so umfangreich, weil er alle Möglichkeiten für das Bottichmaischen beinhaltet:</t>
  </si>
  <si>
    <t>von der klassischen, einfachen Infusion über die Stufeninfusion bis hin zum Zweimaisch- Dekoktionsverfahren.</t>
  </si>
  <si>
    <t>In der Praxis werden einfach alle Eingaben (nicht Formeln!) der nicht benötigten Ereignisblöcke gelöscht.</t>
  </si>
  <si>
    <t>So also wie dies im Originalbeispiel für die Ereignisblöcke 2.Infusion und 2.Dekoktion geschehen ist.</t>
  </si>
  <si>
    <t>Eine halbwegs genaue Kalibrierung des Systems ist bei diesem einfachen Dekoktionsverfahren allerdings empfehlenswert!</t>
  </si>
  <si>
    <t>Dadurch braucht nicht dauernd gerührt zu werden und ein Sauerstoffeintrag wird minimiert.</t>
  </si>
  <si>
    <t>spez. Gußmenge</t>
  </si>
  <si>
    <t>Die im Kessel verbleibende Dickmaische wird gekocht und der Bottichmaische auf Abmaischtemperatur zugebrüht.</t>
  </si>
  <si>
    <t xml:space="preserve"> thermische Masse Läuterbottich + Maische</t>
  </si>
  <si>
    <t>Einmaischen:</t>
  </si>
  <si>
    <t>Infusionswasser aufheizen</t>
  </si>
  <si>
    <t>1. Infusionswasser zubrühen</t>
  </si>
  <si>
    <t>2. Infusionswasser zubrühen</t>
  </si>
  <si>
    <t>aufgeheizte Wassermenge</t>
  </si>
  <si>
    <t>spezifische Zeitkonstante</t>
  </si>
  <si>
    <t>min / kg</t>
  </si>
  <si>
    <t>weitere Systemkonstanten und physikalische Basisgrößen</t>
  </si>
  <si>
    <t>Wasser</t>
  </si>
  <si>
    <t>Molekulargew.</t>
  </si>
  <si>
    <t>g/M</t>
  </si>
  <si>
    <t>spez. Wärme</t>
  </si>
  <si>
    <t>Verdampfungsenthalpie</t>
  </si>
  <si>
    <t>kWh / kg</t>
  </si>
  <si>
    <t>J / g.K</t>
  </si>
  <si>
    <t>kJ / M   bei 100°C</t>
  </si>
  <si>
    <t>SYSTEMKALIBRIERUNG UND KONSTANTEN</t>
  </si>
  <si>
    <t>Aufheizzeit 60-70°C</t>
  </si>
  <si>
    <t>Wärmekapazität Dickmaische</t>
  </si>
  <si>
    <t>Dichte</t>
  </si>
  <si>
    <r>
      <t>g/cm</t>
    </r>
    <r>
      <rPr>
        <vertAlign val="superscript"/>
        <sz val="9"/>
        <rFont val="Arial"/>
        <family val="2"/>
      </rPr>
      <t>3</t>
    </r>
  </si>
  <si>
    <t>Leistungsreduktion beim Kochen (Reflux, Schaum)</t>
  </si>
  <si>
    <t>max. Leistungseinspeisung</t>
  </si>
  <si>
    <t>Caramünch II</t>
  </si>
  <si>
    <t>Carafa sp. II</t>
  </si>
  <si>
    <t>Carafa sp. III</t>
  </si>
  <si>
    <t>Melanoidinmalz</t>
  </si>
  <si>
    <t>Pfannevollwürze</t>
  </si>
  <si>
    <t>Nachisomerisierungszeit (Whirlpool)</t>
  </si>
  <si>
    <t>Kegs</t>
  </si>
  <si>
    <t>Flaschen</t>
  </si>
  <si>
    <t>Schrotung:</t>
  </si>
  <si>
    <t>Min.</t>
  </si>
  <si>
    <t>Maische</t>
  </si>
  <si>
    <t>Mengenbilanz</t>
  </si>
  <si>
    <t>Tage</t>
  </si>
  <si>
    <t>JSP Maltmill fixed 1.5 mm</t>
  </si>
  <si>
    <t>Licensed under the GNU General Public License (see register license)</t>
  </si>
  <si>
    <t xml:space="preserve">    it under the terms of the GNU General Public License as published by</t>
  </si>
  <si>
    <t xml:space="preserve">    the Free Software Foundation; either version 2 of the License, or</t>
  </si>
  <si>
    <t xml:space="preserve">    (at your option) any later version.</t>
  </si>
  <si>
    <t xml:space="preserve">    but WITHOUT ANY WARRANTY; without even the implied warranty of</t>
  </si>
  <si>
    <t xml:space="preserve">    MERCHANTABILITY or FITNESS FOR A PARTICULAR PURPOSE.  See the</t>
  </si>
  <si>
    <t xml:space="preserve">    GNU General Public License for more details.</t>
  </si>
  <si>
    <t xml:space="preserve">    You should have received a copy of the GNU General Public License</t>
  </si>
  <si>
    <t xml:space="preserve">    along with this program; if not, write to the Free Software</t>
  </si>
  <si>
    <t xml:space="preserve">    Foundation, Inc., 59 Temple Place, Suite 330, Boston, MA  02111-1307  USA</t>
  </si>
  <si>
    <t xml:space="preserve">    Brauplaner is free software; you can redistribute it and/or modify</t>
  </si>
  <si>
    <t xml:space="preserve">    Brauplaner is distributed in the hope that it will be useful,</t>
  </si>
  <si>
    <t>GNU Free Documentation License as published by the Free Software</t>
  </si>
  <si>
    <t>Documentation of the Brauplaner must be made under the terms of the</t>
  </si>
  <si>
    <t>DOCUMENTATION:</t>
  </si>
  <si>
    <t>Foundation; either version 1.1 of the License, or (at your option) any later version,</t>
  </si>
  <si>
    <t>A copy of this documentation license is available from the same sites as the</t>
  </si>
  <si>
    <t>GNU General Public License.</t>
  </si>
  <si>
    <t>Kesselmaischen</t>
  </si>
  <si>
    <t>Biscuitmalz</t>
  </si>
  <si>
    <t>Nackthafermalz dunkel</t>
  </si>
  <si>
    <t>mg</t>
  </si>
  <si>
    <r>
      <t>Zink als ZnCl</t>
    </r>
    <r>
      <rPr>
        <vertAlign val="subscript"/>
        <sz val="9"/>
        <rFont val="Arial"/>
        <family val="2"/>
      </rPr>
      <t>2</t>
    </r>
  </si>
  <si>
    <t>w/w</t>
  </si>
  <si>
    <t>v/v</t>
  </si>
  <si>
    <t>Ing. Hubert Hanghofer</t>
  </si>
  <si>
    <t>Dr. Andreas Magauer</t>
  </si>
  <si>
    <t>BRAUPLANER, Version 5.3 © 1991-2009</t>
  </si>
  <si>
    <t>Läuterbottich mit Nasstreber</t>
  </si>
  <si>
    <t>Läuterbottich, netto</t>
  </si>
  <si>
    <t>Nasstreber bezogen auf Schüttung</t>
  </si>
  <si>
    <t>kg / kg Schüttung</t>
  </si>
  <si>
    <r>
      <t>Zitronensäure*H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</si>
  <si>
    <t>Zugabe Hauptguß / Nachguß</t>
  </si>
  <si>
    <t>1. Messung</t>
  </si>
  <si>
    <t>2. Messung</t>
  </si>
  <si>
    <t>optional</t>
  </si>
  <si>
    <t>3. Messung</t>
  </si>
  <si>
    <t>4. Messung</t>
  </si>
  <si>
    <t>5. Messung</t>
  </si>
  <si>
    <t>Prognose Abfüllung Jungbier</t>
  </si>
  <si>
    <t>tatsächliche Abfüllung</t>
  </si>
  <si>
    <t>Prognose (Tage)</t>
  </si>
  <si>
    <t>prognostizierte Dauer Hauptgärung</t>
  </si>
  <si>
    <t>tatsächliche Dauer Hauptgärung</t>
  </si>
  <si>
    <t>Zeitachse (Tage ab 1. Messung)</t>
  </si>
  <si>
    <t>IBU-Rechenmodell, Copyright © 1995 Tinseth</t>
  </si>
  <si>
    <t>Version 5.3 Copyright © 1991-2010, Ing. Hubert Hanghofer, Dr. Andreas Magauer</t>
  </si>
  <si>
    <t>FN-Werte 2011</t>
  </si>
  <si>
    <t>Irish Stout</t>
  </si>
  <si>
    <t>Gerstenflocken</t>
  </si>
  <si>
    <t>Tettnanger</t>
  </si>
  <si>
    <t>Caraamber</t>
  </si>
  <si>
    <t>Wyeast #1056 - American Ale (#1084 Irish Ale nicht lieferbar)</t>
  </si>
  <si>
    <t>7,3kg Pilsmalz</t>
  </si>
  <si>
    <t>davon 4,2 alt von 2008</t>
  </si>
  <si>
    <t xml:space="preserve">nur auf 4,4 durchgegoren, </t>
  </si>
  <si>
    <t>erst am 4. abgefüllt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</si>
</sst>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h:mm"/>
    <numFmt numFmtId="183" formatCode="0.0%"/>
    <numFmt numFmtId="184" formatCode="&quot;(&quot;0\ &quot;Tage)&quot;"/>
    <numFmt numFmtId="185" formatCode="0.0\ &quot;L&quot;"/>
    <numFmt numFmtId="186" formatCode="0.0\ &quot;kg&quot;"/>
    <numFmt numFmtId="187" formatCode="0.0\ &quot;L/kg&quot;"/>
    <numFmt numFmtId="188" formatCode="0.0000"/>
    <numFmt numFmtId="189" formatCode="[h]:mm"/>
    <numFmt numFmtId="190" formatCode="0.0%;\-0.0%;;@"/>
    <numFmt numFmtId="191" formatCode="0\ &quot;°C&quot;"/>
    <numFmt numFmtId="192" formatCode="\+0.00\ &quot;bar&quot;"/>
    <numFmt numFmtId="193" formatCode="[$-C07]dddd\,\ dd\.\ mmmm\ yyyy"/>
    <numFmt numFmtId="194" formatCode="hh:mm;@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</numFmts>
  <fonts count="64">
    <font>
      <sz val="9"/>
      <name val="Arial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u val="single"/>
      <sz val="9"/>
      <name val="Arial"/>
      <family val="2"/>
    </font>
    <font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  <font>
      <sz val="10.2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3"/>
      <color indexed="8"/>
      <name val="Arial"/>
      <family val="0"/>
    </font>
    <font>
      <sz val="2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7" borderId="2" applyNumberFormat="0" applyAlignment="0" applyProtection="0"/>
    <xf numFmtId="177" fontId="1" fillId="0" borderId="0" applyFont="0" applyFill="0" applyBorder="0" applyAlignment="0" applyProtection="0"/>
    <xf numFmtId="0" fontId="48" fillId="28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179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9" applyNumberFormat="0" applyAlignment="0" applyProtection="0"/>
  </cellStyleXfs>
  <cellXfs count="250">
    <xf numFmtId="0" fontId="0" fillId="2" borderId="0" xfId="0" applyAlignment="1">
      <alignment/>
    </xf>
    <xf numFmtId="0" fontId="0" fillId="2" borderId="0" xfId="0" applyAlignment="1">
      <alignment horizontal="right"/>
    </xf>
    <xf numFmtId="2" fontId="0" fillId="2" borderId="0" xfId="0" applyNumberFormat="1" applyAlignment="1">
      <alignment/>
    </xf>
    <xf numFmtId="0" fontId="0" fillId="0" borderId="0" xfId="0" applyFill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1" fillId="2" borderId="0" xfId="0" applyFont="1" applyAlignment="1">
      <alignment/>
    </xf>
    <xf numFmtId="0" fontId="4" fillId="2" borderId="0" xfId="0" applyFont="1" applyAlignment="1">
      <alignment/>
    </xf>
    <xf numFmtId="1" fontId="0" fillId="2" borderId="0" xfId="0" applyNumberFormat="1" applyAlignment="1">
      <alignment/>
    </xf>
    <xf numFmtId="180" fontId="0" fillId="2" borderId="0" xfId="0" applyNumberFormat="1" applyAlignment="1">
      <alignment/>
    </xf>
    <xf numFmtId="18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Font="1" applyAlignment="1">
      <alignment/>
    </xf>
    <xf numFmtId="0" fontId="9" fillId="2" borderId="0" xfId="0" applyFont="1" applyAlignment="1">
      <alignment/>
    </xf>
    <xf numFmtId="0" fontId="9" fillId="2" borderId="0" xfId="0" applyFont="1" applyAlignment="1">
      <alignment horizontal="right"/>
    </xf>
    <xf numFmtId="1" fontId="9" fillId="2" borderId="0" xfId="0" applyNumberFormat="1" applyFont="1" applyAlignment="1">
      <alignment/>
    </xf>
    <xf numFmtId="2" fontId="9" fillId="2" borderId="0" xfId="0" applyNumberFormat="1" applyFont="1" applyAlignment="1">
      <alignment/>
    </xf>
    <xf numFmtId="180" fontId="9" fillId="2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2" borderId="10" xfId="0" applyBorder="1" applyAlignment="1">
      <alignment/>
    </xf>
    <xf numFmtId="0" fontId="0" fillId="0" borderId="10" xfId="0" applyFill="1" applyBorder="1" applyAlignment="1">
      <alignment/>
    </xf>
    <xf numFmtId="180" fontId="0" fillId="2" borderId="10" xfId="0" applyNumberFormat="1" applyBorder="1" applyAlignment="1">
      <alignment/>
    </xf>
    <xf numFmtId="0" fontId="0" fillId="2" borderId="11" xfId="0" applyBorder="1" applyAlignment="1">
      <alignment/>
    </xf>
    <xf numFmtId="180" fontId="0" fillId="2" borderId="11" xfId="0" applyNumberFormat="1" applyBorder="1" applyAlignment="1">
      <alignment/>
    </xf>
    <xf numFmtId="180" fontId="0" fillId="2" borderId="12" xfId="0" applyNumberFormat="1" applyBorder="1" applyAlignment="1">
      <alignment/>
    </xf>
    <xf numFmtId="180" fontId="9" fillId="2" borderId="11" xfId="0" applyNumberFormat="1" applyFont="1" applyBorder="1" applyAlignment="1">
      <alignment/>
    </xf>
    <xf numFmtId="0" fontId="9" fillId="35" borderId="0" xfId="0" applyFont="1" applyFill="1" applyAlignment="1">
      <alignment/>
    </xf>
    <xf numFmtId="0" fontId="9" fillId="35" borderId="11" xfId="0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2" borderId="11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9" fillId="35" borderId="13" xfId="0" applyFont="1" applyFill="1" applyBorder="1" applyAlignment="1">
      <alignment/>
    </xf>
    <xf numFmtId="1" fontId="0" fillId="2" borderId="13" xfId="0" applyNumberFormat="1" applyBorder="1" applyAlignment="1">
      <alignment/>
    </xf>
    <xf numFmtId="180" fontId="0" fillId="2" borderId="13" xfId="0" applyNumberFormat="1" applyBorder="1" applyAlignment="1">
      <alignment/>
    </xf>
    <xf numFmtId="2" fontId="0" fillId="2" borderId="13" xfId="0" applyNumberFormat="1" applyBorder="1" applyAlignment="1">
      <alignment/>
    </xf>
    <xf numFmtId="180" fontId="0" fillId="2" borderId="14" xfId="0" applyNumberFormat="1" applyBorder="1" applyAlignment="1">
      <alignment/>
    </xf>
    <xf numFmtId="180" fontId="9" fillId="2" borderId="13" xfId="0" applyNumberFormat="1" applyFont="1" applyBorder="1" applyAlignment="1">
      <alignment/>
    </xf>
    <xf numFmtId="16" fontId="0" fillId="2" borderId="0" xfId="0" applyNumberFormat="1" applyAlignment="1">
      <alignment/>
    </xf>
    <xf numFmtId="181" fontId="0" fillId="2" borderId="0" xfId="0" applyNumberFormat="1" applyFill="1" applyAlignment="1">
      <alignment/>
    </xf>
    <xf numFmtId="0" fontId="0" fillId="2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10" xfId="0" applyBorder="1" applyAlignment="1">
      <alignment horizontal="center"/>
    </xf>
    <xf numFmtId="1" fontId="0" fillId="2" borderId="10" xfId="0" applyNumberFormat="1" applyBorder="1" applyAlignment="1">
      <alignment/>
    </xf>
    <xf numFmtId="1" fontId="0" fillId="2" borderId="0" xfId="0" applyNumberFormat="1" applyBorder="1" applyAlignment="1">
      <alignment/>
    </xf>
    <xf numFmtId="0" fontId="0" fillId="2" borderId="0" xfId="0" applyBorder="1" applyAlignment="1">
      <alignment/>
    </xf>
    <xf numFmtId="0" fontId="9" fillId="2" borderId="11" xfId="0" applyFont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0" fontId="9" fillId="34" borderId="14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11" xfId="0" applyFill="1" applyBorder="1" applyAlignment="1">
      <alignment/>
    </xf>
    <xf numFmtId="0" fontId="9" fillId="0" borderId="0" xfId="0" applyFont="1" applyFill="1" applyAlignment="1">
      <alignment horizontal="left"/>
    </xf>
    <xf numFmtId="0" fontId="0" fillId="2" borderId="10" xfId="0" applyBorder="1" applyAlignment="1">
      <alignment horizontal="left"/>
    </xf>
    <xf numFmtId="16" fontId="0" fillId="0" borderId="0" xfId="0" applyNumberFormat="1" applyFill="1" applyAlignment="1">
      <alignment/>
    </xf>
    <xf numFmtId="0" fontId="0" fillId="34" borderId="10" xfId="0" applyFill="1" applyBorder="1" applyAlignment="1">
      <alignment/>
    </xf>
    <xf numFmtId="20" fontId="0" fillId="0" borderId="11" xfId="0" applyNumberFormat="1" applyFill="1" applyBorder="1" applyAlignment="1">
      <alignment/>
    </xf>
    <xf numFmtId="0" fontId="0" fillId="2" borderId="0" xfId="0" applyFill="1" applyAlignment="1">
      <alignment/>
    </xf>
    <xf numFmtId="180" fontId="0" fillId="2" borderId="0" xfId="0" applyNumberFormat="1" applyFont="1" applyAlignment="1">
      <alignment/>
    </xf>
    <xf numFmtId="0" fontId="9" fillId="34" borderId="12" xfId="0" applyFont="1" applyFill="1" applyBorder="1" applyAlignment="1">
      <alignment/>
    </xf>
    <xf numFmtId="15" fontId="0" fillId="2" borderId="0" xfId="0" applyNumberFormat="1" applyAlignment="1">
      <alignment/>
    </xf>
    <xf numFmtId="20" fontId="0" fillId="2" borderId="0" xfId="0" applyNumberFormat="1" applyAlignment="1">
      <alignment/>
    </xf>
    <xf numFmtId="182" fontId="0" fillId="2" borderId="0" xfId="0" applyNumberFormat="1" applyAlignment="1">
      <alignment/>
    </xf>
    <xf numFmtId="15" fontId="4" fillId="2" borderId="0" xfId="0" applyNumberFormat="1" applyFont="1" applyAlignment="1">
      <alignment/>
    </xf>
    <xf numFmtId="182" fontId="4" fillId="2" borderId="0" xfId="0" applyNumberFormat="1" applyFont="1" applyAlignment="1">
      <alignment/>
    </xf>
    <xf numFmtId="15" fontId="9" fillId="34" borderId="11" xfId="0" applyNumberFormat="1" applyFont="1" applyFill="1" applyBorder="1" applyAlignment="1">
      <alignment horizontal="center" vertical="center"/>
    </xf>
    <xf numFmtId="15" fontId="0" fillId="2" borderId="0" xfId="0" applyNumberFormat="1" applyBorder="1" applyAlignment="1">
      <alignment/>
    </xf>
    <xf numFmtId="182" fontId="0" fillId="2" borderId="11" xfId="0" applyNumberFormat="1" applyBorder="1" applyAlignment="1">
      <alignment/>
    </xf>
    <xf numFmtId="15" fontId="9" fillId="34" borderId="12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right"/>
    </xf>
    <xf numFmtId="0" fontId="0" fillId="2" borderId="15" xfId="0" applyBorder="1" applyAlignment="1">
      <alignment/>
    </xf>
    <xf numFmtId="182" fontId="0" fillId="0" borderId="11" xfId="0" applyNumberFormat="1" applyFill="1" applyBorder="1" applyAlignment="1">
      <alignment/>
    </xf>
    <xf numFmtId="15" fontId="9" fillId="34" borderId="0" xfId="0" applyNumberFormat="1" applyFont="1" applyFill="1" applyBorder="1" applyAlignment="1">
      <alignment horizontal="center" vertical="center"/>
    </xf>
    <xf numFmtId="182" fontId="9" fillId="34" borderId="10" xfId="0" applyNumberFormat="1" applyFont="1" applyFill="1" applyBorder="1" applyAlignment="1">
      <alignment horizontal="right"/>
    </xf>
    <xf numFmtId="180" fontId="0" fillId="0" borderId="10" xfId="0" applyNumberFormat="1" applyFill="1" applyBorder="1" applyAlignment="1">
      <alignment/>
    </xf>
    <xf numFmtId="180" fontId="9" fillId="2" borderId="16" xfId="0" applyNumberFormat="1" applyFont="1" applyBorder="1" applyAlignment="1">
      <alignment/>
    </xf>
    <xf numFmtId="183" fontId="9" fillId="2" borderId="0" xfId="0" applyNumberFormat="1" applyFont="1" applyAlignment="1">
      <alignment/>
    </xf>
    <xf numFmtId="0" fontId="0" fillId="2" borderId="10" xfId="0" applyBorder="1" applyAlignment="1">
      <alignment horizontal="right"/>
    </xf>
    <xf numFmtId="0" fontId="0" fillId="2" borderId="12" xfId="0" applyBorder="1" applyAlignment="1">
      <alignment/>
    </xf>
    <xf numFmtId="180" fontId="9" fillId="2" borderId="10" xfId="0" applyNumberFormat="1" applyFont="1" applyBorder="1" applyAlignment="1">
      <alignment/>
    </xf>
    <xf numFmtId="15" fontId="0" fillId="2" borderId="10" xfId="0" applyNumberFormat="1" applyBorder="1" applyAlignment="1">
      <alignment/>
    </xf>
    <xf numFmtId="182" fontId="0" fillId="2" borderId="12" xfId="0" applyNumberFormat="1" applyBorder="1" applyAlignment="1">
      <alignment/>
    </xf>
    <xf numFmtId="0" fontId="0" fillId="2" borderId="17" xfId="0" applyBorder="1" applyAlignment="1">
      <alignment/>
    </xf>
    <xf numFmtId="182" fontId="0" fillId="2" borderId="10" xfId="0" applyNumberFormat="1" applyBorder="1" applyAlignment="1">
      <alignment/>
    </xf>
    <xf numFmtId="15" fontId="9" fillId="34" borderId="10" xfId="0" applyNumberFormat="1" applyFont="1" applyFill="1" applyBorder="1" applyAlignment="1">
      <alignment horizontal="center" vertical="center"/>
    </xf>
    <xf numFmtId="15" fontId="9" fillId="34" borderId="15" xfId="0" applyNumberFormat="1" applyFont="1" applyFill="1" applyBorder="1" applyAlignment="1">
      <alignment horizontal="center" vertical="center"/>
    </xf>
    <xf numFmtId="15" fontId="9" fillId="34" borderId="17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0" borderId="0" xfId="0" applyFill="1" applyAlignment="1">
      <alignment horizontal="right"/>
    </xf>
    <xf numFmtId="0" fontId="9" fillId="2" borderId="16" xfId="0" applyFont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Alignment="1">
      <alignment horizontal="right"/>
    </xf>
    <xf numFmtId="180" fontId="0" fillId="0" borderId="0" xfId="0" applyNumberFormat="1" applyFont="1" applyFill="1" applyAlignment="1">
      <alignment/>
    </xf>
    <xf numFmtId="180" fontId="0" fillId="2" borderId="10" xfId="0" applyNumberFormat="1" applyFont="1" applyBorder="1" applyAlignment="1">
      <alignment/>
    </xf>
    <xf numFmtId="0" fontId="9" fillId="2" borderId="0" xfId="0" applyFont="1" applyAlignment="1">
      <alignment horizontal="center"/>
    </xf>
    <xf numFmtId="0" fontId="9" fillId="2" borderId="18" xfId="0" applyFont="1" applyBorder="1" applyAlignment="1">
      <alignment horizontal="right"/>
    </xf>
    <xf numFmtId="0" fontId="9" fillId="2" borderId="19" xfId="0" applyFont="1" applyBorder="1" applyAlignment="1">
      <alignment horizontal="right"/>
    </xf>
    <xf numFmtId="184" fontId="0" fillId="2" borderId="0" xfId="0" applyNumberFormat="1" applyAlignment="1">
      <alignment horizontal="left"/>
    </xf>
    <xf numFmtId="10" fontId="0" fillId="2" borderId="0" xfId="0" applyNumberFormat="1" applyAlignment="1">
      <alignment/>
    </xf>
    <xf numFmtId="1" fontId="0" fillId="2" borderId="0" xfId="0" applyNumberFormat="1" applyFill="1" applyAlignment="1">
      <alignment/>
    </xf>
    <xf numFmtId="180" fontId="9" fillId="0" borderId="13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2" fontId="9" fillId="34" borderId="0" xfId="0" applyNumberFormat="1" applyFont="1" applyFill="1" applyBorder="1" applyAlignment="1">
      <alignment horizontal="center"/>
    </xf>
    <xf numFmtId="182" fontId="9" fillId="34" borderId="11" xfId="0" applyNumberFormat="1" applyFont="1" applyFill="1" applyBorder="1" applyAlignment="1">
      <alignment horizontal="right"/>
    </xf>
    <xf numFmtId="182" fontId="9" fillId="34" borderId="12" xfId="0" applyNumberFormat="1" applyFont="1" applyFill="1" applyBorder="1" applyAlignment="1">
      <alignment horizontal="right"/>
    </xf>
    <xf numFmtId="186" fontId="0" fillId="2" borderId="0" xfId="0" applyNumberFormat="1" applyBorder="1" applyAlignment="1">
      <alignment/>
    </xf>
    <xf numFmtId="185" fontId="0" fillId="2" borderId="15" xfId="0" applyNumberFormat="1" applyBorder="1" applyAlignment="1">
      <alignment/>
    </xf>
    <xf numFmtId="185" fontId="0" fillId="2" borderId="0" xfId="0" applyNumberFormat="1" applyAlignment="1">
      <alignment/>
    </xf>
    <xf numFmtId="182" fontId="0" fillId="2" borderId="0" xfId="0" applyNumberFormat="1" applyFill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5" fontId="0" fillId="2" borderId="10" xfId="0" applyNumberFormat="1" applyBorder="1" applyAlignment="1">
      <alignment/>
    </xf>
    <xf numFmtId="185" fontId="9" fillId="2" borderId="0" xfId="0" applyNumberFormat="1" applyFont="1" applyAlignment="1">
      <alignment/>
    </xf>
    <xf numFmtId="180" fontId="0" fillId="2" borderId="0" xfId="0" applyNumberFormat="1" applyAlignment="1">
      <alignment horizontal="right"/>
    </xf>
    <xf numFmtId="182" fontId="0" fillId="2" borderId="0" xfId="0" applyNumberFormat="1" applyAlignment="1">
      <alignment horizontal="right"/>
    </xf>
    <xf numFmtId="183" fontId="0" fillId="2" borderId="0" xfId="0" applyNumberFormat="1" applyAlignment="1">
      <alignment/>
    </xf>
    <xf numFmtId="15" fontId="0" fillId="36" borderId="0" xfId="0" applyNumberFormat="1" applyFill="1" applyAlignment="1">
      <alignment/>
    </xf>
    <xf numFmtId="18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5" fontId="0" fillId="2" borderId="0" xfId="0" applyNumberFormat="1" applyFill="1" applyAlignment="1">
      <alignment/>
    </xf>
    <xf numFmtId="15" fontId="0" fillId="2" borderId="0" xfId="0" applyNumberFormat="1" applyFill="1" applyAlignment="1">
      <alignment horizontal="center"/>
    </xf>
    <xf numFmtId="15" fontId="0" fillId="36" borderId="0" xfId="0" applyNumberFormat="1" applyFill="1" applyAlignment="1">
      <alignment horizontal="center"/>
    </xf>
    <xf numFmtId="0" fontId="0" fillId="2" borderId="11" xfId="0" applyFont="1" applyBorder="1" applyAlignment="1">
      <alignment/>
    </xf>
    <xf numFmtId="0" fontId="0" fillId="2" borderId="12" xfId="0" applyFont="1" applyBorder="1" applyAlignment="1">
      <alignment/>
    </xf>
    <xf numFmtId="185" fontId="9" fillId="0" borderId="0" xfId="0" applyNumberFormat="1" applyFont="1" applyFill="1" applyAlignment="1">
      <alignment/>
    </xf>
    <xf numFmtId="1" fontId="9" fillId="34" borderId="10" xfId="0" applyNumberFormat="1" applyFont="1" applyFill="1" applyBorder="1" applyAlignment="1">
      <alignment horizontal="center"/>
    </xf>
    <xf numFmtId="0" fontId="9" fillId="2" borderId="15" xfId="0" applyFont="1" applyBorder="1" applyAlignment="1">
      <alignment/>
    </xf>
    <xf numFmtId="185" fontId="0" fillId="2" borderId="0" xfId="0" applyNumberFormat="1" applyFont="1" applyAlignment="1">
      <alignment/>
    </xf>
    <xf numFmtId="0" fontId="9" fillId="2" borderId="0" xfId="0" applyFont="1" applyAlignment="1">
      <alignment horizontal="left"/>
    </xf>
    <xf numFmtId="2" fontId="0" fillId="2" borderId="0" xfId="0" applyNumberFormat="1" applyAlignment="1">
      <alignment horizontal="right"/>
    </xf>
    <xf numFmtId="180" fontId="0" fillId="2" borderId="0" xfId="0" applyNumberFormat="1" applyAlignment="1">
      <alignment horizontal="left"/>
    </xf>
    <xf numFmtId="0" fontId="9" fillId="2" borderId="10" xfId="0" applyFont="1" applyBorder="1" applyAlignment="1">
      <alignment horizontal="center"/>
    </xf>
    <xf numFmtId="15" fontId="0" fillId="37" borderId="0" xfId="0" applyNumberFormat="1" applyFill="1" applyBorder="1" applyAlignment="1">
      <alignment/>
    </xf>
    <xf numFmtId="182" fontId="0" fillId="37" borderId="11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>
      <alignment/>
    </xf>
    <xf numFmtId="185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85" fontId="0" fillId="37" borderId="15" xfId="0" applyNumberFormat="1" applyFill="1" applyBorder="1" applyAlignment="1">
      <alignment/>
    </xf>
    <xf numFmtId="1" fontId="9" fillId="37" borderId="0" xfId="0" applyNumberFormat="1" applyFont="1" applyFill="1" applyAlignment="1">
      <alignment/>
    </xf>
    <xf numFmtId="185" fontId="9" fillId="37" borderId="0" xfId="0" applyNumberFormat="1" applyFont="1" applyFill="1" applyAlignment="1">
      <alignment/>
    </xf>
    <xf numFmtId="0" fontId="9" fillId="37" borderId="0" xfId="0" applyFont="1" applyFill="1" applyAlignment="1">
      <alignment horizontal="left"/>
    </xf>
    <xf numFmtId="1" fontId="0" fillId="37" borderId="0" xfId="0" applyNumberFormat="1" applyFill="1" applyBorder="1" applyAlignment="1">
      <alignment/>
    </xf>
    <xf numFmtId="185" fontId="0" fillId="37" borderId="0" xfId="0" applyNumberFormat="1" applyFont="1" applyFill="1" applyAlignment="1">
      <alignment/>
    </xf>
    <xf numFmtId="0" fontId="9" fillId="37" borderId="0" xfId="0" applyFont="1" applyFill="1" applyAlignment="1">
      <alignment horizontal="right"/>
    </xf>
    <xf numFmtId="183" fontId="0" fillId="37" borderId="0" xfId="0" applyNumberFormat="1" applyFill="1" applyAlignment="1">
      <alignment/>
    </xf>
    <xf numFmtId="185" fontId="9" fillId="2" borderId="0" xfId="0" applyNumberFormat="1" applyFont="1" applyFill="1" applyAlignment="1">
      <alignment/>
    </xf>
    <xf numFmtId="15" fontId="0" fillId="37" borderId="10" xfId="0" applyNumberFormat="1" applyFill="1" applyBorder="1" applyAlignment="1">
      <alignment/>
    </xf>
    <xf numFmtId="182" fontId="0" fillId="37" borderId="12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0" xfId="0" applyFill="1" applyBorder="1" applyAlignment="1">
      <alignment/>
    </xf>
    <xf numFmtId="185" fontId="0" fillId="37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Border="1" applyAlignment="1">
      <alignment/>
    </xf>
    <xf numFmtId="182" fontId="0" fillId="2" borderId="11" xfId="0" applyNumberFormat="1" applyFill="1" applyBorder="1" applyAlignment="1">
      <alignment/>
    </xf>
    <xf numFmtId="15" fontId="9" fillId="2" borderId="0" xfId="0" applyNumberFormat="1" applyFont="1" applyAlignment="1">
      <alignment/>
    </xf>
    <xf numFmtId="187" fontId="0" fillId="2" borderId="0" xfId="0" applyNumberFormat="1" applyAlignment="1">
      <alignment/>
    </xf>
    <xf numFmtId="181" fontId="9" fillId="2" borderId="0" xfId="0" applyNumberFormat="1" applyFont="1" applyFill="1" applyAlignment="1">
      <alignment/>
    </xf>
    <xf numFmtId="0" fontId="3" fillId="35" borderId="0" xfId="0" applyFont="1" applyFill="1" applyAlignment="1">
      <alignment horizontal="center"/>
    </xf>
    <xf numFmtId="188" fontId="0" fillId="2" borderId="0" xfId="0" applyNumberFormat="1" applyAlignment="1">
      <alignment/>
    </xf>
    <xf numFmtId="2" fontId="0" fillId="2" borderId="0" xfId="0" applyNumberFormat="1" applyFill="1" applyAlignment="1">
      <alignment/>
    </xf>
    <xf numFmtId="0" fontId="9" fillId="2" borderId="0" xfId="0" applyFont="1" applyBorder="1" applyAlignment="1">
      <alignment/>
    </xf>
    <xf numFmtId="0" fontId="0" fillId="0" borderId="18" xfId="0" applyFill="1" applyBorder="1" applyAlignment="1">
      <alignment/>
    </xf>
    <xf numFmtId="189" fontId="9" fillId="2" borderId="0" xfId="0" applyNumberFormat="1" applyFont="1" applyAlignment="1">
      <alignment/>
    </xf>
    <xf numFmtId="0" fontId="9" fillId="34" borderId="0" xfId="0" applyFont="1" applyFill="1" applyAlignment="1">
      <alignment horizontal="center"/>
    </xf>
    <xf numFmtId="1" fontId="9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9" fillId="2" borderId="0" xfId="0" applyFont="1" applyFill="1" applyBorder="1" applyAlignment="1">
      <alignment horizontal="right"/>
    </xf>
    <xf numFmtId="182" fontId="9" fillId="2" borderId="0" xfId="0" applyNumberFormat="1" applyFont="1" applyFill="1" applyAlignment="1">
      <alignment/>
    </xf>
    <xf numFmtId="9" fontId="0" fillId="0" borderId="0" xfId="0" applyNumberFormat="1" applyFill="1" applyAlignment="1">
      <alignment/>
    </xf>
    <xf numFmtId="190" fontId="0" fillId="2" borderId="11" xfId="0" applyNumberFormat="1" applyBorder="1" applyAlignment="1">
      <alignment/>
    </xf>
    <xf numFmtId="190" fontId="0" fillId="2" borderId="12" xfId="0" applyNumberFormat="1" applyBorder="1" applyAlignment="1">
      <alignment/>
    </xf>
    <xf numFmtId="190" fontId="9" fillId="2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80" fontId="0" fillId="2" borderId="0" xfId="0" applyNumberFormat="1" applyFill="1" applyBorder="1" applyAlignment="1">
      <alignment/>
    </xf>
    <xf numFmtId="180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right"/>
    </xf>
    <xf numFmtId="0" fontId="0" fillId="2" borderId="11" xfId="0" applyFill="1" applyBorder="1" applyAlignment="1">
      <alignment horizontal="left"/>
    </xf>
    <xf numFmtId="0" fontId="0" fillId="2" borderId="0" xfId="0" applyAlignment="1">
      <alignment horizontal="left"/>
    </xf>
    <xf numFmtId="191" fontId="0" fillId="0" borderId="0" xfId="0" applyNumberFormat="1" applyFill="1" applyAlignment="1">
      <alignment/>
    </xf>
    <xf numFmtId="192" fontId="9" fillId="2" borderId="0" xfId="0" applyNumberFormat="1" applyFont="1" applyAlignment="1">
      <alignment/>
    </xf>
    <xf numFmtId="16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16" fontId="0" fillId="0" borderId="0" xfId="0" applyNumberFormat="1" applyFont="1" applyFill="1" applyAlignment="1">
      <alignment/>
    </xf>
    <xf numFmtId="20" fontId="0" fillId="0" borderId="0" xfId="0" applyNumberFormat="1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9" fillId="2" borderId="16" xfId="0" applyFont="1" applyBorder="1" applyAlignment="1">
      <alignment horizontal="right"/>
    </xf>
    <xf numFmtId="0" fontId="0" fillId="2" borderId="16" xfId="0" applyBorder="1" applyAlignment="1">
      <alignment/>
    </xf>
    <xf numFmtId="0" fontId="9" fillId="2" borderId="20" xfId="0" applyFont="1" applyBorder="1" applyAlignment="1">
      <alignment horizontal="right"/>
    </xf>
    <xf numFmtId="187" fontId="0" fillId="35" borderId="13" xfId="0" applyNumberFormat="1" applyFill="1" applyBorder="1" applyAlignment="1">
      <alignment/>
    </xf>
    <xf numFmtId="2" fontId="0" fillId="2" borderId="15" xfId="0" applyNumberFormat="1" applyBorder="1" applyAlignment="1">
      <alignment/>
    </xf>
    <xf numFmtId="10" fontId="9" fillId="2" borderId="0" xfId="0" applyNumberFormat="1" applyFont="1" applyAlignment="1">
      <alignment/>
    </xf>
    <xf numFmtId="0" fontId="0" fillId="2" borderId="0" xfId="0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80" fontId="9" fillId="0" borderId="16" xfId="0" applyNumberFormat="1" applyFont="1" applyFill="1" applyBorder="1" applyAlignment="1">
      <alignment/>
    </xf>
    <xf numFmtId="181" fontId="9" fillId="2" borderId="16" xfId="0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15" fillId="2" borderId="0" xfId="0" applyFont="1" applyAlignment="1">
      <alignment horizontal="right"/>
    </xf>
    <xf numFmtId="181" fontId="0" fillId="2" borderId="0" xfId="0" applyNumberFormat="1" applyAlignment="1">
      <alignment/>
    </xf>
    <xf numFmtId="2" fontId="0" fillId="0" borderId="0" xfId="0" applyNumberFormat="1" applyFont="1" applyFill="1" applyAlignment="1">
      <alignment/>
    </xf>
    <xf numFmtId="2" fontId="0" fillId="0" borderId="18" xfId="0" applyNumberFormat="1" applyFont="1" applyFill="1" applyBorder="1" applyAlignment="1">
      <alignment/>
    </xf>
    <xf numFmtId="16" fontId="0" fillId="2" borderId="0" xfId="0" applyNumberFormat="1" applyFill="1" applyAlignment="1">
      <alignment/>
    </xf>
    <xf numFmtId="0" fontId="0" fillId="2" borderId="19" xfId="0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8" borderId="0" xfId="46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0" fillId="2" borderId="0" xfId="0" applyAlignment="1">
      <alignment horizontal="left" indent="1"/>
    </xf>
    <xf numFmtId="194" fontId="0" fillId="2" borderId="11" xfId="0" applyNumberFormat="1" applyFill="1" applyBorder="1" applyAlignment="1">
      <alignment/>
    </xf>
    <xf numFmtId="16" fontId="0" fillId="0" borderId="10" xfId="0" applyNumberFormat="1" applyFill="1" applyBorder="1" applyAlignment="1">
      <alignment/>
    </xf>
    <xf numFmtId="20" fontId="0" fillId="0" borderId="12" xfId="0" applyNumberFormat="1" applyFill="1" applyBorder="1" applyAlignment="1">
      <alignment/>
    </xf>
    <xf numFmtId="181" fontId="0" fillId="2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9" fillId="2" borderId="10" xfId="0" applyFont="1" applyBorder="1" applyAlignment="1">
      <alignment horizontal="right"/>
    </xf>
    <xf numFmtId="183" fontId="9" fillId="2" borderId="10" xfId="0" applyNumberFormat="1" applyFont="1" applyBorder="1" applyAlignment="1">
      <alignment/>
    </xf>
    <xf numFmtId="0" fontId="61" fillId="2" borderId="0" xfId="0" applyFont="1" applyAlignment="1">
      <alignment/>
    </xf>
    <xf numFmtId="14" fontId="62" fillId="39" borderId="22" xfId="0" applyNumberFormat="1" applyFont="1" applyFill="1" applyBorder="1" applyAlignment="1">
      <alignment/>
    </xf>
    <xf numFmtId="0" fontId="63" fillId="2" borderId="0" xfId="0" applyFont="1" applyAlignment="1">
      <alignment/>
    </xf>
    <xf numFmtId="15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/>
    </xf>
    <xf numFmtId="15" fontId="9" fillId="40" borderId="0" xfId="0" applyNumberFormat="1" applyFont="1" applyFill="1" applyAlignment="1">
      <alignment horizontal="center" wrapText="1"/>
    </xf>
    <xf numFmtId="182" fontId="9" fillId="34" borderId="0" xfId="0" applyNumberFormat="1" applyFont="1" applyFill="1" applyBorder="1" applyAlignment="1">
      <alignment horizontal="center"/>
    </xf>
    <xf numFmtId="15" fontId="9" fillId="34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Brauprotokoll!$A$2:$B$2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Kessel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Würzebereitung!$R$13:$R$26</c:f>
            </c:strRef>
          </c:xVal>
          <c:yVal>
            <c:numRef>
              <c:f>Würzebereitung!$H$13:$H$26</c:f>
            </c:numRef>
          </c:yVal>
          <c:smooth val="0"/>
        </c:ser>
        <c:ser>
          <c:idx val="1"/>
          <c:order val="1"/>
          <c:tx>
            <c:v>Läuterbottich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Würzebereitung!$R$24:$R$26</c:f>
            </c:strRef>
          </c:xVal>
          <c:yVal>
            <c:numRef>
              <c:f>Würzebereitung!$K$24:$K$26</c:f>
            </c:numRef>
          </c:yVal>
          <c:smooth val="0"/>
        </c:ser>
        <c:axId val="63931677"/>
        <c:axId val="38514182"/>
      </c:scatterChart>
      <c:valAx>
        <c:axId val="639316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14182"/>
        <c:crosses val="autoZero"/>
        <c:crossBetween val="midCat"/>
        <c:dispUnits/>
      </c:valAx>
      <c:valAx>
        <c:axId val="3851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Brauprotokoll!$A$2:$B$2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v>Kessel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Würzebereitung!$R$60:$R$74</c:f>
            </c:strRef>
          </c:xVal>
          <c:yVal>
            <c:numRef>
              <c:f>Würzebereitung!$H$60:$H$74</c:f>
            </c:numRef>
          </c:yVal>
          <c:smooth val="0"/>
        </c:ser>
        <c:ser>
          <c:idx val="1"/>
          <c:order val="1"/>
          <c:tx>
            <c:v>Läuterbottich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Würzebereitung!$R$69:$R$74</c:f>
            </c:strRef>
          </c:xVal>
          <c:yVal>
            <c:numRef>
              <c:f>Würzebereitung!$K$69:$K$74</c:f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 val="autoZero"/>
        <c:crossBetween val="midCat"/>
        <c:dispUnits/>
      </c:valAx>
      <c:valAx>
        <c:axId val="326410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83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Brauprotokoll!$A$2:$B$2</c:f>
        </c:strRef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06225"/>
          <c:w val="0.8795"/>
          <c:h val="0.944"/>
        </c:manualLayout>
      </c:layout>
      <c:scatterChart>
        <c:scatterStyle val="lineMarker"/>
        <c:varyColors val="0"/>
        <c:ser>
          <c:idx val="0"/>
          <c:order val="0"/>
          <c:tx>
            <c:v>Kessel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Würzebereitung!$R$115:$R$134</c:f>
              <c:strCache/>
            </c:strRef>
          </c:xVal>
          <c:yVal>
            <c:numRef>
              <c:f>Würzebereitung!$H$115:$H$134</c:f>
              <c:numCache/>
            </c:numRef>
          </c:yVal>
          <c:smooth val="0"/>
        </c:ser>
        <c:ser>
          <c:idx val="1"/>
          <c:order val="1"/>
          <c:tx>
            <c:v>Läuterbottich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Würzebereitung!$R$115:$R$134</c:f>
              <c:strCache/>
            </c:strRef>
          </c:xVal>
          <c:yVal>
            <c:numRef>
              <c:f>Würzebereitung!$K$115:$K$134</c:f>
              <c:numCache/>
            </c:numRef>
          </c:yVal>
          <c:smooth val="0"/>
        </c:ser>
        <c:axId val="25333617"/>
        <c:axId val="26675962"/>
      </c:scatterChart>
      <c:valAx>
        <c:axId val="25333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5962"/>
        <c:crosses val="autoZero"/>
        <c:crossBetween val="midCat"/>
        <c:dispUnits/>
      </c:valAx>
      <c:valAx>
        <c:axId val="26675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33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48675"/>
          <c:w val="0.08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47625</xdr:rowOff>
    </xdr:from>
    <xdr:to>
      <xdr:col>11</xdr:col>
      <xdr:colOff>0</xdr:colOff>
      <xdr:row>46</xdr:row>
      <xdr:rowOff>142875</xdr:rowOff>
    </xdr:to>
    <xdr:graphicFrame>
      <xdr:nvGraphicFramePr>
        <xdr:cNvPr id="1" name="Diagramm 2"/>
        <xdr:cNvGraphicFramePr/>
      </xdr:nvGraphicFramePr>
      <xdr:xfrm>
        <a:off x="0" y="962025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57150</xdr:rowOff>
    </xdr:from>
    <xdr:to>
      <xdr:col>11</xdr:col>
      <xdr:colOff>9525</xdr:colOff>
      <xdr:row>97</xdr:row>
      <xdr:rowOff>0</xdr:rowOff>
    </xdr:to>
    <xdr:graphicFrame>
      <xdr:nvGraphicFramePr>
        <xdr:cNvPr id="2" name="Diagramm 12"/>
        <xdr:cNvGraphicFramePr/>
      </xdr:nvGraphicFramePr>
      <xdr:xfrm>
        <a:off x="0" y="1924050"/>
        <a:ext cx="6305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137</xdr:row>
      <xdr:rowOff>0</xdr:rowOff>
    </xdr:from>
    <xdr:to>
      <xdr:col>11</xdr:col>
      <xdr:colOff>19050</xdr:colOff>
      <xdr:row>158</xdr:row>
      <xdr:rowOff>133350</xdr:rowOff>
    </xdr:to>
    <xdr:graphicFrame>
      <xdr:nvGraphicFramePr>
        <xdr:cNvPr id="3" name="Diagramm 131"/>
        <xdr:cNvGraphicFramePr/>
      </xdr:nvGraphicFramePr>
      <xdr:xfrm>
        <a:off x="0" y="8067675"/>
        <a:ext cx="63150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11.421875" defaultRowHeight="12"/>
  <sheetData>
    <row r="1" ht="12">
      <c r="A1" t="s">
        <v>243</v>
      </c>
    </row>
    <row r="2" ht="12">
      <c r="B2" t="s">
        <v>241</v>
      </c>
    </row>
    <row r="3" ht="12">
      <c r="B3" t="s">
        <v>242</v>
      </c>
    </row>
    <row r="5" ht="12">
      <c r="A5" t="s">
        <v>226</v>
      </c>
    </row>
    <row r="6" ht="12">
      <c r="A6" t="s">
        <v>217</v>
      </c>
    </row>
    <row r="7" ht="12">
      <c r="A7" t="s">
        <v>218</v>
      </c>
    </row>
    <row r="8" ht="12">
      <c r="A8" t="s">
        <v>219</v>
      </c>
    </row>
    <row r="10" ht="12">
      <c r="A10" t="s">
        <v>227</v>
      </c>
    </row>
    <row r="11" ht="12">
      <c r="A11" t="s">
        <v>220</v>
      </c>
    </row>
    <row r="12" ht="12">
      <c r="A12" t="s">
        <v>221</v>
      </c>
    </row>
    <row r="13" ht="12">
      <c r="A13" t="s">
        <v>222</v>
      </c>
    </row>
    <row r="15" ht="12">
      <c r="A15" t="s">
        <v>223</v>
      </c>
    </row>
    <row r="16" ht="12">
      <c r="A16" t="s">
        <v>224</v>
      </c>
    </row>
    <row r="17" ht="12">
      <c r="A17" t="s">
        <v>225</v>
      </c>
    </row>
    <row r="19" ht="12.75" customHeight="1"/>
    <row r="21" ht="12">
      <c r="A21" t="s">
        <v>230</v>
      </c>
    </row>
    <row r="23" ht="12">
      <c r="A23" t="s">
        <v>229</v>
      </c>
    </row>
    <row r="24" ht="12">
      <c r="A24" t="s">
        <v>228</v>
      </c>
    </row>
    <row r="25" ht="12">
      <c r="A25" t="s">
        <v>231</v>
      </c>
    </row>
    <row r="27" ht="12">
      <c r="A27" t="s">
        <v>232</v>
      </c>
    </row>
    <row r="28" ht="12">
      <c r="A28" t="s">
        <v>233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27">
      <selection activeCell="M15" sqref="M15"/>
    </sheetView>
  </sheetViews>
  <sheetFormatPr defaultColWidth="8.7109375" defaultRowHeight="12"/>
  <cols>
    <col min="1" max="1" width="12.8515625" style="0" customWidth="1"/>
    <col min="2" max="5" width="6.7109375" style="0" customWidth="1"/>
    <col min="6" max="11" width="9.7109375" style="0" customWidth="1"/>
    <col min="12" max="14" width="8.7109375" style="0" customWidth="1"/>
    <col min="15" max="15" width="9.00390625" style="0" bestFit="1" customWidth="1"/>
  </cols>
  <sheetData>
    <row r="1" spans="1:11" s="13" customFormat="1" ht="15.75">
      <c r="A1" s="7" t="s">
        <v>84</v>
      </c>
      <c r="K1" s="217" t="s">
        <v>263</v>
      </c>
    </row>
    <row r="2" spans="1:11" s="13" customFormat="1" ht="12">
      <c r="A2" s="14" t="s">
        <v>19</v>
      </c>
      <c r="B2" s="59">
        <v>2</v>
      </c>
      <c r="C2" s="14" t="s">
        <v>83</v>
      </c>
      <c r="D2" s="237">
        <v>41210</v>
      </c>
      <c r="E2" s="237"/>
      <c r="K2" s="217" t="s">
        <v>216</v>
      </c>
    </row>
    <row r="3" spans="1:11" s="13" customFormat="1" ht="12">
      <c r="A3" s="14" t="s">
        <v>31</v>
      </c>
      <c r="B3" s="238" t="s">
        <v>265</v>
      </c>
      <c r="C3" s="238"/>
      <c r="D3" s="238"/>
      <c r="E3" s="238"/>
      <c r="G3" s="14" t="s">
        <v>119</v>
      </c>
      <c r="H3" s="238" t="s">
        <v>234</v>
      </c>
      <c r="I3" s="238"/>
      <c r="J3" s="238"/>
      <c r="K3" s="238"/>
    </row>
    <row r="4" s="13" customFormat="1" ht="12"/>
    <row r="5" spans="1:11" s="13" customFormat="1" ht="12">
      <c r="A5" s="53" t="s">
        <v>20</v>
      </c>
      <c r="B5" s="54" t="s">
        <v>30</v>
      </c>
      <c r="C5" s="54" t="s">
        <v>2</v>
      </c>
      <c r="D5" s="56" t="s">
        <v>62</v>
      </c>
      <c r="E5" s="239" t="s">
        <v>36</v>
      </c>
      <c r="F5" s="239"/>
      <c r="G5" s="239"/>
      <c r="H5" s="240"/>
      <c r="I5" s="55" t="s">
        <v>53</v>
      </c>
      <c r="J5" s="56" t="s">
        <v>54</v>
      </c>
      <c r="K5" s="54" t="s">
        <v>55</v>
      </c>
    </row>
    <row r="6" spans="1:11" ht="12">
      <c r="A6" t="s">
        <v>21</v>
      </c>
      <c r="B6">
        <v>3</v>
      </c>
      <c r="C6" s="11">
        <v>5.8</v>
      </c>
      <c r="D6" s="182">
        <f>C6/$C$22</f>
        <v>0.8169014084507042</v>
      </c>
      <c r="E6" t="s">
        <v>38</v>
      </c>
      <c r="G6" t="s">
        <v>0</v>
      </c>
      <c r="H6" s="28"/>
      <c r="I6" s="109">
        <v>26</v>
      </c>
      <c r="J6" s="110">
        <v>15.9</v>
      </c>
      <c r="K6" s="9">
        <f>F40</f>
        <v>12.992201749390821</v>
      </c>
    </row>
    <row r="7" spans="1:11" ht="12">
      <c r="A7" t="s">
        <v>22</v>
      </c>
      <c r="B7">
        <v>7</v>
      </c>
      <c r="C7" s="11"/>
      <c r="D7" s="182">
        <f aca="true" t="shared" si="0" ref="D7:D21">C7/$C$22</f>
        <v>0</v>
      </c>
      <c r="E7" s="32" t="s">
        <v>46</v>
      </c>
      <c r="F7" s="57"/>
      <c r="G7" s="57"/>
      <c r="H7" s="58"/>
      <c r="I7" s="207">
        <f>I6/$C$22</f>
        <v>3.6619718309859155</v>
      </c>
      <c r="J7" s="207">
        <f>J6/$C$22</f>
        <v>2.23943661971831</v>
      </c>
      <c r="K7" s="57"/>
    </row>
    <row r="8" spans="1:12" ht="12">
      <c r="A8" t="s">
        <v>23</v>
      </c>
      <c r="B8">
        <v>20</v>
      </c>
      <c r="C8" s="11"/>
      <c r="D8" s="182">
        <f t="shared" si="0"/>
        <v>0</v>
      </c>
      <c r="E8" t="s">
        <v>47</v>
      </c>
      <c r="G8" t="s">
        <v>48</v>
      </c>
      <c r="H8" s="28"/>
      <c r="I8" s="36"/>
      <c r="J8" s="34">
        <v>0</v>
      </c>
      <c r="K8" s="18"/>
      <c r="L8" t="s">
        <v>249</v>
      </c>
    </row>
    <row r="9" spans="1:11" ht="13.5">
      <c r="A9" t="s">
        <v>24</v>
      </c>
      <c r="B9">
        <v>7</v>
      </c>
      <c r="C9" s="11"/>
      <c r="D9" s="182">
        <f t="shared" si="0"/>
        <v>0</v>
      </c>
      <c r="E9" t="s">
        <v>248</v>
      </c>
      <c r="G9" t="s">
        <v>49</v>
      </c>
      <c r="H9" s="28"/>
      <c r="I9" s="36"/>
      <c r="J9" s="34"/>
      <c r="K9" s="18"/>
    </row>
    <row r="10" spans="1:11" ht="13.5">
      <c r="A10" t="s">
        <v>266</v>
      </c>
      <c r="B10">
        <v>3</v>
      </c>
      <c r="C10" s="11">
        <v>0.5</v>
      </c>
      <c r="D10" s="182">
        <f t="shared" si="0"/>
        <v>0.07042253521126761</v>
      </c>
      <c r="E10" t="s">
        <v>50</v>
      </c>
      <c r="G10" t="s">
        <v>49</v>
      </c>
      <c r="H10" s="28"/>
      <c r="I10" s="36"/>
      <c r="J10" s="34"/>
      <c r="K10" s="18"/>
    </row>
    <row r="11" spans="1:13" ht="13.5">
      <c r="A11" t="s">
        <v>25</v>
      </c>
      <c r="B11">
        <v>4</v>
      </c>
      <c r="C11" s="11"/>
      <c r="D11" s="182">
        <f t="shared" si="0"/>
        <v>0</v>
      </c>
      <c r="E11" t="s">
        <v>51</v>
      </c>
      <c r="G11" t="s">
        <v>49</v>
      </c>
      <c r="H11" s="28"/>
      <c r="I11" s="36"/>
      <c r="J11" s="34"/>
      <c r="K11" s="18"/>
      <c r="M11" t="s">
        <v>270</v>
      </c>
    </row>
    <row r="12" spans="1:13" ht="12">
      <c r="A12" t="s">
        <v>27</v>
      </c>
      <c r="B12">
        <v>5</v>
      </c>
      <c r="C12" s="11"/>
      <c r="D12" s="182">
        <f t="shared" si="0"/>
        <v>0</v>
      </c>
      <c r="E12" s="32" t="s">
        <v>37</v>
      </c>
      <c r="F12" s="32"/>
      <c r="G12" s="32"/>
      <c r="H12" s="235" t="s">
        <v>264</v>
      </c>
      <c r="I12" s="37"/>
      <c r="J12" s="33"/>
      <c r="K12" s="32"/>
      <c r="M12" t="s">
        <v>271</v>
      </c>
    </row>
    <row r="13" spans="1:13" ht="14.25">
      <c r="A13" t="s">
        <v>236</v>
      </c>
      <c r="B13">
        <v>50</v>
      </c>
      <c r="C13" s="11"/>
      <c r="D13" s="182">
        <f t="shared" si="0"/>
        <v>0</v>
      </c>
      <c r="E13" t="s">
        <v>45</v>
      </c>
      <c r="G13" t="s">
        <v>39</v>
      </c>
      <c r="H13" s="215">
        <v>51.8</v>
      </c>
      <c r="I13" s="38">
        <f>$H$13+(I10*272.62+I11*232.79)/I6</f>
        <v>51.8</v>
      </c>
      <c r="J13" s="35">
        <f>$H$13+(J10*272.62+J11*232.79)/J6</f>
        <v>51.8</v>
      </c>
      <c r="K13" s="8">
        <f>$H$13+(K10*272.62+K11*232.79)/K6</f>
        <v>51.8</v>
      </c>
      <c r="M13" t="s">
        <v>272</v>
      </c>
    </row>
    <row r="14" spans="1:13" ht="14.25">
      <c r="A14" t="s">
        <v>26</v>
      </c>
      <c r="B14">
        <v>25</v>
      </c>
      <c r="C14" s="11"/>
      <c r="D14" s="182">
        <f t="shared" si="0"/>
        <v>0</v>
      </c>
      <c r="E14" t="s">
        <v>44</v>
      </c>
      <c r="G14" t="s">
        <v>39</v>
      </c>
      <c r="H14" s="215">
        <v>8.7</v>
      </c>
      <c r="I14" s="38">
        <f>$H$14</f>
        <v>8.7</v>
      </c>
      <c r="J14" s="35">
        <f>$H$14</f>
        <v>8.7</v>
      </c>
      <c r="K14" s="8">
        <f>$H$14</f>
        <v>8.7</v>
      </c>
      <c r="M14" t="s">
        <v>273</v>
      </c>
    </row>
    <row r="15" spans="1:11" ht="14.25">
      <c r="A15" t="s">
        <v>235</v>
      </c>
      <c r="B15">
        <v>50</v>
      </c>
      <c r="C15" s="11"/>
      <c r="D15" s="182">
        <f t="shared" si="0"/>
        <v>0</v>
      </c>
      <c r="E15" t="s">
        <v>43</v>
      </c>
      <c r="G15" t="s">
        <v>39</v>
      </c>
      <c r="H15" s="215">
        <v>6.5</v>
      </c>
      <c r="I15" s="38">
        <f>$H$15+I10*482.29/I6</f>
        <v>6.5</v>
      </c>
      <c r="J15" s="35">
        <f>$H$15+J10*482.29/J6</f>
        <v>6.5</v>
      </c>
      <c r="K15" s="8">
        <f>$H$15+K10*482.29/K6</f>
        <v>6.5</v>
      </c>
    </row>
    <row r="16" spans="1:11" ht="14.25">
      <c r="A16" t="s">
        <v>202</v>
      </c>
      <c r="B16">
        <v>120</v>
      </c>
      <c r="C16" s="11"/>
      <c r="D16" s="182">
        <f>C16/$C$22</f>
        <v>0</v>
      </c>
      <c r="E16" t="s">
        <v>42</v>
      </c>
      <c r="G16" t="s">
        <v>39</v>
      </c>
      <c r="H16" s="215">
        <v>33.1</v>
      </c>
      <c r="I16" s="38">
        <f>$H$16+I11*557.93/I6</f>
        <v>33.1</v>
      </c>
      <c r="J16" s="35">
        <f>$H$16+J11*557.93/J6</f>
        <v>33.1</v>
      </c>
      <c r="K16" s="8">
        <f>$H$16+K11*557.93/K6</f>
        <v>33.1</v>
      </c>
    </row>
    <row r="17" spans="1:11" ht="12">
      <c r="A17" s="236" t="s">
        <v>268</v>
      </c>
      <c r="B17" s="236">
        <v>70</v>
      </c>
      <c r="C17" s="11">
        <v>0.1</v>
      </c>
      <c r="D17" s="182">
        <f>C17/$C$22</f>
        <v>0.014084507042253523</v>
      </c>
      <c r="E17" t="s">
        <v>32</v>
      </c>
      <c r="G17" t="s">
        <v>40</v>
      </c>
      <c r="H17" s="29">
        <f>H13*0.1399</f>
        <v>7.24682</v>
      </c>
      <c r="I17" s="39">
        <f>I13*0.1399</f>
        <v>7.24682</v>
      </c>
      <c r="J17" s="29">
        <f>J13*0.1399</f>
        <v>7.24682</v>
      </c>
      <c r="K17" s="9">
        <f>K13*0.1399</f>
        <v>7.24682</v>
      </c>
    </row>
    <row r="18" spans="1:11" ht="12">
      <c r="A18" t="s">
        <v>205</v>
      </c>
      <c r="B18">
        <v>70</v>
      </c>
      <c r="C18" s="11"/>
      <c r="D18" s="182">
        <f t="shared" si="0"/>
        <v>0</v>
      </c>
      <c r="E18" t="s">
        <v>33</v>
      </c>
      <c r="G18" t="s">
        <v>40</v>
      </c>
      <c r="H18" s="29">
        <f>H14*0.2307</f>
        <v>2.00709</v>
      </c>
      <c r="I18" s="39">
        <f>I14*0.2307</f>
        <v>2.00709</v>
      </c>
      <c r="J18" s="29">
        <f>J14*0.2307</f>
        <v>2.00709</v>
      </c>
      <c r="K18" s="9">
        <f>K14*0.2307</f>
        <v>2.00709</v>
      </c>
    </row>
    <row r="19" spans="1:11" ht="12">
      <c r="A19" t="s">
        <v>203</v>
      </c>
      <c r="B19">
        <v>1050</v>
      </c>
      <c r="C19" s="11"/>
      <c r="D19" s="182">
        <f t="shared" si="0"/>
        <v>0</v>
      </c>
      <c r="E19" t="s">
        <v>52</v>
      </c>
      <c r="G19" t="s">
        <v>40</v>
      </c>
      <c r="H19" s="29">
        <f>H17+H18</f>
        <v>9.25391</v>
      </c>
      <c r="I19" s="39">
        <f>I17+I18</f>
        <v>9.25391</v>
      </c>
      <c r="J19" s="29">
        <f>J17+J18</f>
        <v>9.25391</v>
      </c>
      <c r="K19" s="9">
        <f>K17+K18</f>
        <v>9.25391</v>
      </c>
    </row>
    <row r="20" spans="1:11" ht="15.75">
      <c r="A20" t="s">
        <v>204</v>
      </c>
      <c r="B20">
        <v>1250</v>
      </c>
      <c r="C20" s="11"/>
      <c r="D20" s="182">
        <f t="shared" si="0"/>
        <v>0</v>
      </c>
      <c r="E20" t="s">
        <v>56</v>
      </c>
      <c r="G20" t="s">
        <v>41</v>
      </c>
      <c r="H20" s="216">
        <v>2.53</v>
      </c>
      <c r="I20" s="40">
        <f>$H$20-(I8*1.2*80%+C12*30)/0.09008/I6-I9/0.07005667/I6</f>
        <v>2.53</v>
      </c>
      <c r="J20" s="40">
        <f>$H$20-J8*1.2*80%/0.09008/J6-J9/0.07005667/J6</f>
        <v>2.53</v>
      </c>
      <c r="K20" s="208">
        <f>$H$20-K8*1.2*80%/0.09008/K6-K9/0.07005667/K6</f>
        <v>2.53</v>
      </c>
    </row>
    <row r="21" spans="1:11" ht="12">
      <c r="A21" s="25" t="s">
        <v>114</v>
      </c>
      <c r="B21" s="25">
        <v>1000</v>
      </c>
      <c r="C21" s="214">
        <v>0.7</v>
      </c>
      <c r="D21" s="183">
        <f t="shared" si="0"/>
        <v>0.09859154929577464</v>
      </c>
      <c r="E21" s="25" t="s">
        <v>34</v>
      </c>
      <c r="F21" s="25"/>
      <c r="G21" s="25" t="s">
        <v>40</v>
      </c>
      <c r="H21" s="30">
        <f>H20*2.8</f>
        <v>7.083999999999999</v>
      </c>
      <c r="I21" s="41">
        <f>I20*2.8</f>
        <v>7.083999999999999</v>
      </c>
      <c r="J21" s="30">
        <f>J20*2.8</f>
        <v>7.083999999999999</v>
      </c>
      <c r="K21" s="27">
        <f>K20*2.8</f>
        <v>7.083999999999999</v>
      </c>
    </row>
    <row r="22" spans="1:11" s="13" customFormat="1" ht="12">
      <c r="A22" s="13" t="s">
        <v>28</v>
      </c>
      <c r="B22" s="15">
        <f>SUMPRODUCT(B6:B21,C6:C21)/C22*H41/9+System!B27</f>
        <v>135.63928012519563</v>
      </c>
      <c r="C22" s="16">
        <f>SUM(C6:C21)</f>
        <v>7.1</v>
      </c>
      <c r="D22" s="184">
        <f>SUM(D6:D21)</f>
        <v>1</v>
      </c>
      <c r="E22" s="13" t="s">
        <v>35</v>
      </c>
      <c r="G22" s="13" t="s">
        <v>40</v>
      </c>
      <c r="H22" s="31">
        <f>H21-H17/3.5-H18/7</f>
        <v>4.7267528571428565</v>
      </c>
      <c r="I22" s="42">
        <f>I21-I17/3.5-I18/7</f>
        <v>4.7267528571428565</v>
      </c>
      <c r="J22" s="31">
        <f>J21-J17/3.5-J18/7</f>
        <v>4.7267528571428565</v>
      </c>
      <c r="K22" s="17">
        <f>K21-K17/3.5-K18/7</f>
        <v>4.7267528571428565</v>
      </c>
    </row>
    <row r="23" spans="1:11" ht="12">
      <c r="A23" s="13" t="s">
        <v>210</v>
      </c>
      <c r="B23" t="s">
        <v>215</v>
      </c>
      <c r="J23" s="14"/>
      <c r="K23" s="209"/>
    </row>
    <row r="25" spans="1:13" ht="12">
      <c r="A25" s="19" t="s">
        <v>57</v>
      </c>
      <c r="B25" s="19"/>
      <c r="C25" s="20" t="s">
        <v>76</v>
      </c>
      <c r="D25" s="19"/>
      <c r="E25" s="20" t="s">
        <v>58</v>
      </c>
      <c r="F25" s="20" t="s">
        <v>59</v>
      </c>
      <c r="G25" s="20" t="s">
        <v>38</v>
      </c>
      <c r="H25" s="20" t="s">
        <v>60</v>
      </c>
      <c r="I25" s="241" t="s">
        <v>77</v>
      </c>
      <c r="J25" s="242"/>
      <c r="K25" s="20" t="s">
        <v>75</v>
      </c>
      <c r="M25" t="s">
        <v>262</v>
      </c>
    </row>
    <row r="26" spans="1:15" ht="12">
      <c r="A26" s="53"/>
      <c r="B26" s="53"/>
      <c r="C26" s="53"/>
      <c r="D26" s="54"/>
      <c r="E26" s="54" t="s">
        <v>78</v>
      </c>
      <c r="F26" s="54" t="s">
        <v>62</v>
      </c>
      <c r="G26" s="54" t="s">
        <v>63</v>
      </c>
      <c r="H26" s="54" t="s">
        <v>64</v>
      </c>
      <c r="I26" s="54" t="s">
        <v>65</v>
      </c>
      <c r="J26" s="56" t="s">
        <v>81</v>
      </c>
      <c r="K26" s="54"/>
      <c r="M26" t="s">
        <v>74</v>
      </c>
      <c r="O26">
        <f>1.65*0.000125^(G37-1)</f>
        <v>0.8816411675636585</v>
      </c>
    </row>
    <row r="27" spans="1:15" ht="12">
      <c r="A27" s="243" t="s">
        <v>267</v>
      </c>
      <c r="B27" s="243"/>
      <c r="C27" s="46"/>
      <c r="D27" s="45"/>
      <c r="E27" s="46" t="s">
        <v>66</v>
      </c>
      <c r="F27" s="10">
        <v>4.5</v>
      </c>
      <c r="G27" s="3">
        <v>200</v>
      </c>
      <c r="H27" s="3">
        <v>70</v>
      </c>
      <c r="I27" s="50">
        <f>1000*G27*F27%/$F$37</f>
        <v>330.2370088227836</v>
      </c>
      <c r="J27" s="29">
        <f>$O$26*(1-EXP(-0.04*(H27+$H$31)))/4.15%*(1+COUNTA(C27:E27)/10)</f>
        <v>22.588908692950877</v>
      </c>
      <c r="K27" s="9">
        <f>I27*J27%/$O$27</f>
        <v>49.35486132924595</v>
      </c>
      <c r="M27" t="s">
        <v>149</v>
      </c>
      <c r="O27">
        <f>H37/H41*G37/G41</f>
        <v>1.511440502196431</v>
      </c>
    </row>
    <row r="28" spans="1:11" ht="12">
      <c r="A28" s="244"/>
      <c r="B28" s="244"/>
      <c r="C28" s="46"/>
      <c r="D28" s="45"/>
      <c r="E28" s="46"/>
      <c r="F28" s="10"/>
      <c r="G28" s="3"/>
      <c r="H28" s="97"/>
      <c r="I28" s="50">
        <f>1000*G28*F28%/$F$37</f>
        <v>0</v>
      </c>
      <c r="J28" s="29">
        <f>$O$26*(1-EXP(-0.04*(H28+$H$31)))/4.15%*(1+COUNTA(C28:E28)/10)</f>
        <v>9.5852105047036</v>
      </c>
      <c r="K28" s="9">
        <f>I28*J28%/$O$27</f>
        <v>0</v>
      </c>
    </row>
    <row r="29" spans="1:11" ht="12">
      <c r="A29" s="244"/>
      <c r="B29" s="244"/>
      <c r="C29" s="46"/>
      <c r="D29" s="45"/>
      <c r="E29" s="46"/>
      <c r="F29" s="10"/>
      <c r="G29" s="3"/>
      <c r="H29" s="3"/>
      <c r="I29" s="50">
        <f>1000*G29*F29%/$F$37</f>
        <v>0</v>
      </c>
      <c r="J29" s="29">
        <f>$O$26*(1-EXP(-0.04*(H29+$H$31)))/4.15%*(1+COUNTA(C29:E29)/10)</f>
        <v>9.5852105047036</v>
      </c>
      <c r="K29" s="9">
        <f>I29*J29%/$O$27</f>
        <v>0</v>
      </c>
    </row>
    <row r="30" spans="1:11" ht="12">
      <c r="A30" s="246"/>
      <c r="B30" s="246"/>
      <c r="C30" s="47"/>
      <c r="D30" s="48"/>
      <c r="E30" s="47"/>
      <c r="F30" s="81"/>
      <c r="G30" s="26"/>
      <c r="H30" s="26"/>
      <c r="I30" s="49">
        <f>1000*G30*F30%/$F$37</f>
        <v>0</v>
      </c>
      <c r="J30" s="30">
        <f>$O$26*(1-EXP(-0.04*(H30+$H$31)))/4.15%*(1+COUNTA(C30:E30)/10)</f>
        <v>9.5852105047036</v>
      </c>
      <c r="K30" s="27">
        <f>I30*J30%/$O$27</f>
        <v>0</v>
      </c>
    </row>
    <row r="31" spans="1:11" ht="12.75" thickBot="1">
      <c r="A31" s="186"/>
      <c r="B31" s="186"/>
      <c r="C31" s="187"/>
      <c r="D31" s="187"/>
      <c r="E31" s="187"/>
      <c r="F31" s="188"/>
      <c r="G31" s="104" t="s">
        <v>207</v>
      </c>
      <c r="H31" s="174">
        <v>15</v>
      </c>
      <c r="I31" s="118"/>
      <c r="J31" s="105" t="s">
        <v>61</v>
      </c>
      <c r="K31" s="82">
        <f>SUM(K27:K30)</f>
        <v>49.35486132924595</v>
      </c>
    </row>
    <row r="32" spans="7:11" ht="14.25" thickTop="1">
      <c r="G32" s="210" t="s">
        <v>238</v>
      </c>
      <c r="H32" s="211">
        <v>0</v>
      </c>
      <c r="I32" t="s">
        <v>237</v>
      </c>
      <c r="J32" s="52" t="s">
        <v>80</v>
      </c>
      <c r="K32" s="16">
        <f>K31/(G41-1)/1000</f>
        <v>1.0670315108682036</v>
      </c>
    </row>
    <row r="33" spans="3:11" ht="12">
      <c r="C33" s="19" t="s">
        <v>213</v>
      </c>
      <c r="D33" s="23"/>
      <c r="E33" s="20" t="s">
        <v>60</v>
      </c>
      <c r="F33" s="20" t="s">
        <v>87</v>
      </c>
      <c r="G33" s="20" t="s">
        <v>72</v>
      </c>
      <c r="H33" s="20" t="s">
        <v>89</v>
      </c>
      <c r="I33" s="173"/>
      <c r="J33" s="52" t="s">
        <v>79</v>
      </c>
      <c r="K33" s="17">
        <f>K31/H41</f>
        <v>4.291727072108343</v>
      </c>
    </row>
    <row r="34" spans="1:15" ht="12">
      <c r="A34" s="43"/>
      <c r="C34" s="53"/>
      <c r="D34" s="53"/>
      <c r="E34" s="54" t="s">
        <v>211</v>
      </c>
      <c r="F34" s="54" t="s">
        <v>88</v>
      </c>
      <c r="G34" s="54" t="s">
        <v>86</v>
      </c>
      <c r="H34" s="54" t="s">
        <v>73</v>
      </c>
      <c r="I34" s="51"/>
      <c r="L34" s="64"/>
      <c r="M34" s="190"/>
      <c r="N34" s="190"/>
      <c r="O34" s="190"/>
    </row>
    <row r="35" spans="1:15" ht="12">
      <c r="A35" s="43"/>
      <c r="C35" s="13" t="s">
        <v>212</v>
      </c>
      <c r="D35" s="13"/>
      <c r="E35" s="3">
        <v>0</v>
      </c>
      <c r="F35" s="179">
        <f>I6+C22*System!$B$22</f>
        <v>31.325</v>
      </c>
      <c r="G35" s="179"/>
      <c r="H35" s="179"/>
      <c r="L35" s="64"/>
      <c r="M35" s="190"/>
      <c r="N35" s="190"/>
      <c r="O35" s="190"/>
    </row>
    <row r="36" spans="1:15" ht="12">
      <c r="A36" s="43"/>
      <c r="C36" s="13" t="s">
        <v>206</v>
      </c>
      <c r="D36" s="13"/>
      <c r="E36" s="185">
        <v>100</v>
      </c>
      <c r="F36" s="17">
        <f>(I6+J6+C22*(1-System!$B$26)-E35/60*System!$B$19)/(G36*System!$B$34)</f>
        <v>31.031565760549093</v>
      </c>
      <c r="G36" s="169">
        <f>1+(G37-1)*F37/F36</f>
        <v>1.0612463205997413</v>
      </c>
      <c r="H36" s="189">
        <f>H37*F37*G37/(F36*G36)</f>
        <v>15.049534202991728</v>
      </c>
      <c r="L36" s="64"/>
      <c r="M36" s="190"/>
      <c r="N36" s="190"/>
      <c r="O36" s="190"/>
    </row>
    <row r="37" spans="1:15" ht="12">
      <c r="A37" s="43"/>
      <c r="C37" s="13" t="s">
        <v>67</v>
      </c>
      <c r="D37" s="13"/>
      <c r="F37" s="17">
        <f>F36-E36/60*System!$B$19</f>
        <v>27.253153824530024</v>
      </c>
      <c r="G37" s="44">
        <f>(0.00001493*H37^2+0.0038365*H37+0.99828)/0.998203</f>
        <v>1.0697375884464382</v>
      </c>
      <c r="H37" s="101">
        <v>17</v>
      </c>
      <c r="J37" s="14" t="s">
        <v>85</v>
      </c>
      <c r="K37" s="83">
        <f>F37*G37*System!$B$34*H37%/C22</f>
        <v>0.6967904055232247</v>
      </c>
      <c r="L37" s="64"/>
      <c r="M37" s="190"/>
      <c r="N37" s="190"/>
      <c r="O37" s="190"/>
    </row>
    <row r="38" spans="4:15" ht="12">
      <c r="D38" s="1"/>
      <c r="E38" s="1" t="s">
        <v>148</v>
      </c>
      <c r="F38" s="10"/>
      <c r="G38" s="44"/>
      <c r="H38" s="9"/>
      <c r="M38" s="190"/>
      <c r="N38" s="190"/>
      <c r="O38" s="190"/>
    </row>
    <row r="39" spans="4:15" ht="12">
      <c r="D39" s="1"/>
      <c r="E39" s="1" t="s">
        <v>69</v>
      </c>
      <c r="F39" s="10">
        <v>1.85</v>
      </c>
      <c r="G39" s="44"/>
      <c r="H39" s="9"/>
      <c r="M39" s="190"/>
      <c r="N39" s="190"/>
      <c r="O39" s="190"/>
    </row>
    <row r="40" spans="3:15" ht="12">
      <c r="C40" s="60"/>
      <c r="D40" s="84"/>
      <c r="E40" s="84" t="s">
        <v>70</v>
      </c>
      <c r="F40" s="86">
        <f>(F37-F38-F39)*(H37/H41*G37/G41-1)</f>
        <v>12.992201749390821</v>
      </c>
      <c r="G40" s="25"/>
      <c r="H40" s="25"/>
      <c r="M40" s="190"/>
      <c r="N40" s="190"/>
      <c r="O40" s="190"/>
    </row>
    <row r="41" spans="3:15" ht="12.75" thickBot="1">
      <c r="C41" s="98" t="s">
        <v>68</v>
      </c>
      <c r="D41" s="98"/>
      <c r="E41" s="98"/>
      <c r="F41" s="82">
        <f>F37-F38-F39+F40</f>
        <v>38.395355573920845</v>
      </c>
      <c r="G41" s="213">
        <f>(0.00001493*H41^2+0.0038365*H41+0.99828)/0.998203</f>
        <v>1.0462543615877733</v>
      </c>
      <c r="H41" s="212">
        <v>11.5</v>
      </c>
      <c r="M41" s="190"/>
      <c r="N41" s="190"/>
      <c r="O41" s="190"/>
    </row>
    <row r="42" spans="13:15" ht="12.75" thickTop="1">
      <c r="M42" s="190"/>
      <c r="N42" s="190"/>
      <c r="O42" s="190"/>
    </row>
    <row r="43" spans="1:15" ht="12">
      <c r="A43" s="62"/>
      <c r="B43" s="62"/>
      <c r="C43" s="54" t="s">
        <v>91</v>
      </c>
      <c r="D43" s="246" t="s">
        <v>269</v>
      </c>
      <c r="E43" s="246"/>
      <c r="F43" s="246"/>
      <c r="G43" s="246"/>
      <c r="H43" s="246"/>
      <c r="I43" s="246"/>
      <c r="J43" s="246"/>
      <c r="K43" s="246"/>
      <c r="M43" s="190"/>
      <c r="N43" s="190"/>
      <c r="O43" s="190"/>
    </row>
    <row r="44" spans="1:11" ht="12">
      <c r="A44" s="23"/>
      <c r="B44" s="23"/>
      <c r="C44" s="20" t="s">
        <v>92</v>
      </c>
      <c r="D44" s="195"/>
      <c r="E44" s="196"/>
      <c r="F44" s="243"/>
      <c r="G44" s="243"/>
      <c r="H44" s="243"/>
      <c r="I44" s="243"/>
      <c r="J44" s="243"/>
      <c r="K44" s="243"/>
    </row>
    <row r="45" spans="1:11" ht="12">
      <c r="A45" s="23"/>
      <c r="B45" s="23"/>
      <c r="C45" s="23"/>
      <c r="D45" s="195"/>
      <c r="E45" s="196"/>
      <c r="F45" s="244"/>
      <c r="G45" s="244"/>
      <c r="H45" s="244"/>
      <c r="I45" s="244"/>
      <c r="J45" s="244"/>
      <c r="K45" s="244"/>
    </row>
    <row r="46" spans="1:11" ht="12">
      <c r="A46" s="23"/>
      <c r="B46" s="23"/>
      <c r="C46" s="23"/>
      <c r="D46" s="197"/>
      <c r="E46" s="198"/>
      <c r="F46" s="245"/>
      <c r="G46" s="245"/>
      <c r="H46" s="245"/>
      <c r="I46" s="245"/>
      <c r="J46" s="245"/>
      <c r="K46" s="245"/>
    </row>
    <row r="48" spans="1:15" ht="12">
      <c r="A48" s="62"/>
      <c r="B48" s="53"/>
      <c r="C48" s="54" t="s">
        <v>90</v>
      </c>
      <c r="D48" s="53"/>
      <c r="E48" s="66"/>
      <c r="F48" s="54" t="s">
        <v>7</v>
      </c>
      <c r="G48" s="54" t="s">
        <v>72</v>
      </c>
      <c r="H48" s="54" t="s">
        <v>73</v>
      </c>
      <c r="I48" s="54"/>
      <c r="J48" s="54"/>
      <c r="K48" s="54"/>
      <c r="M48" s="1"/>
      <c r="N48" s="1"/>
      <c r="O48" s="1" t="s">
        <v>261</v>
      </c>
    </row>
    <row r="49" spans="3:15" ht="12">
      <c r="C49" s="1" t="s">
        <v>93</v>
      </c>
      <c r="D49" s="43">
        <f>$D$2</f>
        <v>41210</v>
      </c>
      <c r="E49" s="63">
        <v>0.7597222222222223</v>
      </c>
      <c r="F49" s="3">
        <v>26</v>
      </c>
      <c r="G49" s="44">
        <f>G41</f>
        <v>1.0462543615877733</v>
      </c>
      <c r="H49" s="65">
        <f>H41</f>
        <v>11.5</v>
      </c>
      <c r="O49" s="2">
        <f aca="true" t="shared" si="1" ref="O49:O56">D49+E49-$D$52-$E$52</f>
        <v>-0.6569444444418575</v>
      </c>
    </row>
    <row r="50" spans="3:15" ht="12">
      <c r="C50" s="1" t="s">
        <v>107</v>
      </c>
      <c r="D50" s="61">
        <v>41211</v>
      </c>
      <c r="E50" s="63">
        <v>0.3333333333333333</v>
      </c>
      <c r="F50" s="3">
        <v>20</v>
      </c>
      <c r="G50" s="64"/>
      <c r="J50" s="13" t="s">
        <v>108</v>
      </c>
      <c r="K50" s="175">
        <f>D50+E50-D49-E49</f>
        <v>0.5736111111135364</v>
      </c>
      <c r="M50" s="43"/>
      <c r="O50" s="2">
        <f t="shared" si="1"/>
        <v>-0.08333333333090803</v>
      </c>
    </row>
    <row r="51" spans="1:15" ht="12">
      <c r="A51" s="25"/>
      <c r="B51" s="25"/>
      <c r="C51" s="84" t="s">
        <v>96</v>
      </c>
      <c r="D51" s="228">
        <v>41212</v>
      </c>
      <c r="E51" s="229">
        <v>0.3333333333333333</v>
      </c>
      <c r="F51" s="26">
        <v>20</v>
      </c>
      <c r="G51" s="230">
        <f>(0.00001493*H51^2+0.0038365*H51+0.99828)/0.998203</f>
        <v>1.0078237793314586</v>
      </c>
      <c r="H51" s="231">
        <v>2</v>
      </c>
      <c r="I51" s="25"/>
      <c r="J51" s="232" t="s">
        <v>110</v>
      </c>
      <c r="K51" s="233">
        <f>1-H51/H49</f>
        <v>0.8260869565217391</v>
      </c>
      <c r="L51" s="43"/>
      <c r="M51" s="68"/>
      <c r="O51" s="2">
        <f t="shared" si="1"/>
        <v>0.9166666666690919</v>
      </c>
    </row>
    <row r="52" spans="3:15" ht="12">
      <c r="C52" s="1" t="s">
        <v>250</v>
      </c>
      <c r="D52" s="61">
        <v>41211</v>
      </c>
      <c r="E52" s="63">
        <v>0.4166666666666667</v>
      </c>
      <c r="F52" s="3">
        <v>19</v>
      </c>
      <c r="H52" s="219">
        <v>11</v>
      </c>
      <c r="I52" s="226" t="s">
        <v>258</v>
      </c>
      <c r="K52" s="1"/>
      <c r="O52" s="2">
        <f t="shared" si="1"/>
        <v>-2.4253377084448857E-12</v>
      </c>
    </row>
    <row r="53" spans="3:15" ht="12">
      <c r="C53" s="1" t="s">
        <v>251</v>
      </c>
      <c r="D53" s="61">
        <v>41212</v>
      </c>
      <c r="E53" s="63">
        <v>0.375</v>
      </c>
      <c r="F53" s="3">
        <v>19</v>
      </c>
      <c r="H53" s="219">
        <v>5.2</v>
      </c>
      <c r="I53" s="2">
        <f>IF(H53=0,"",(O53-O52)*LN((H53-$H$51)/($H$59-$H$51))/LN((H52-$H$51)/(H53-$H$51))+O53)</f>
        <v>1.2249442155453825</v>
      </c>
      <c r="K53" s="1"/>
      <c r="O53" s="2">
        <f t="shared" si="1"/>
        <v>0.9583333333333333</v>
      </c>
    </row>
    <row r="54" spans="1:15" ht="12">
      <c r="A54" t="s">
        <v>252</v>
      </c>
      <c r="C54" s="1" t="s">
        <v>253</v>
      </c>
      <c r="D54" s="61">
        <v>41214</v>
      </c>
      <c r="E54" s="63">
        <v>0.5</v>
      </c>
      <c r="F54" s="3">
        <v>19</v>
      </c>
      <c r="H54" s="219">
        <v>4.4</v>
      </c>
      <c r="I54" s="2">
        <f>IF(H54=0,"",(O54-O53)*LN((H54-$H$51)/($H$59-$H$51))/LN((H53-$H$51)/(H54-$H$51))+O54)</f>
        <v>3.0833333333333335</v>
      </c>
      <c r="K54" s="1"/>
      <c r="O54" s="2">
        <f t="shared" si="1"/>
        <v>3.0833333333333335</v>
      </c>
    </row>
    <row r="55" spans="1:15" ht="12">
      <c r="A55" t="s">
        <v>252</v>
      </c>
      <c r="C55" s="1" t="s">
        <v>254</v>
      </c>
      <c r="D55" s="61">
        <v>41216</v>
      </c>
      <c r="E55" s="63">
        <v>0.5</v>
      </c>
      <c r="F55" s="3">
        <v>19</v>
      </c>
      <c r="H55" s="219">
        <v>4.4</v>
      </c>
      <c r="I55" s="2" t="e">
        <f>IF(H55=0,"",(O55-O54)*LN((H55-$H$51)/($H$59-$H$51))/LN((H54-$H$51)/(H55-$H$51))+O55)</f>
        <v>#DIV/0!</v>
      </c>
      <c r="K55" s="1"/>
      <c r="O55" s="2">
        <f t="shared" si="1"/>
        <v>5.083333333333333</v>
      </c>
    </row>
    <row r="56" spans="1:15" ht="12">
      <c r="A56" t="s">
        <v>252</v>
      </c>
      <c r="C56" s="1" t="s">
        <v>255</v>
      </c>
      <c r="D56" s="61">
        <v>41217</v>
      </c>
      <c r="E56" s="63"/>
      <c r="F56" s="3">
        <v>20</v>
      </c>
      <c r="H56" s="219">
        <v>4.4</v>
      </c>
      <c r="I56" s="2" t="e">
        <f>IF(H56=0,"",(O56-O55)*LN((H56-$H$51)/($H$59-$H$51))/LN((H55-$H$51)/(H56-$H$51))+O56)</f>
        <v>#DIV/0!</v>
      </c>
      <c r="K56" s="1"/>
      <c r="O56" s="2">
        <f t="shared" si="1"/>
        <v>5.583333333333333</v>
      </c>
    </row>
    <row r="57" spans="3:9" ht="12">
      <c r="C57" s="1" t="s">
        <v>259</v>
      </c>
      <c r="D57" s="2" t="e">
        <f>AVERAGE(I53:I56)-O49</f>
        <v>#DIV/0!</v>
      </c>
      <c r="E57" s="28" t="s">
        <v>214</v>
      </c>
      <c r="H57" s="210"/>
      <c r="I57" s="224"/>
    </row>
    <row r="58" spans="1:11" ht="13.5">
      <c r="A58" s="199"/>
      <c r="B58" s="199"/>
      <c r="C58" s="200" t="s">
        <v>260</v>
      </c>
      <c r="D58" s="225">
        <f>D60+E60-D49-E49</f>
        <v>7.677777777777778</v>
      </c>
      <c r="E58" s="201" t="s">
        <v>214</v>
      </c>
      <c r="F58" s="199"/>
      <c r="G58" s="199"/>
      <c r="H58" s="199"/>
      <c r="I58" s="199"/>
      <c r="J58" s="202" t="s">
        <v>95</v>
      </c>
      <c r="K58" s="203" t="s">
        <v>109</v>
      </c>
    </row>
    <row r="59" spans="3:10" ht="12">
      <c r="C59" s="1" t="s">
        <v>256</v>
      </c>
      <c r="D59" s="221" t="e">
        <f>D49+E49+D57</f>
        <v>#DIV/0!</v>
      </c>
      <c r="E59" s="227" t="e">
        <f>D59</f>
        <v>#DIV/0!</v>
      </c>
      <c r="H59" s="220">
        <v>4.4</v>
      </c>
      <c r="I59" t="s">
        <v>73</v>
      </c>
      <c r="J59" s="222"/>
    </row>
    <row r="60" spans="3:11" ht="12">
      <c r="C60" s="1" t="s">
        <v>257</v>
      </c>
      <c r="D60" s="61">
        <v>41218</v>
      </c>
      <c r="E60" s="63">
        <v>0.4375</v>
      </c>
      <c r="F60" s="3">
        <v>20</v>
      </c>
      <c r="G60" s="44">
        <f>(0.00001493*H60^2+0.0038365*H60+0.99828)/0.998203</f>
        <v>1.0172776928139866</v>
      </c>
      <c r="H60" s="223">
        <v>4.4</v>
      </c>
      <c r="I60" s="12" t="s">
        <v>73</v>
      </c>
      <c r="J60" s="131"/>
      <c r="K60" s="65">
        <f>0.0015461*F60^2-0.10711*F60+3.1962+8.192*(H60-H51)*System!B28*G51</f>
        <v>11.86281690549254</v>
      </c>
    </row>
    <row r="61" spans="2:11" ht="12">
      <c r="B61" s="1" t="s">
        <v>208</v>
      </c>
      <c r="C61" s="97">
        <v>25</v>
      </c>
      <c r="D61" s="192" t="s">
        <v>0</v>
      </c>
      <c r="E61" s="191"/>
      <c r="G61" s="100" t="s">
        <v>71</v>
      </c>
      <c r="H61" s="101">
        <v>0</v>
      </c>
      <c r="I61" s="12" t="s">
        <v>94</v>
      </c>
      <c r="J61" s="131"/>
      <c r="K61" s="65">
        <f>H61*G37*H37%*K51*0.8192*1000*System!$B$28/(H61+$F$41)</f>
        <v>0</v>
      </c>
    </row>
    <row r="62" spans="2:11" ht="12">
      <c r="B62" s="1" t="s">
        <v>209</v>
      </c>
      <c r="C62" s="3">
        <v>10.5</v>
      </c>
      <c r="D62" s="192" t="s">
        <v>0</v>
      </c>
      <c r="E62" s="28"/>
      <c r="G62" s="1" t="s">
        <v>121</v>
      </c>
      <c r="H62" s="3">
        <v>5</v>
      </c>
      <c r="I62" s="65">
        <f>H62*($F$38+$F$41)</f>
        <v>191.97677786960423</v>
      </c>
      <c r="J62" s="131" t="s">
        <v>120</v>
      </c>
      <c r="K62" s="65">
        <f>H62*System!$B$28</f>
        <v>2.571428571428571</v>
      </c>
    </row>
    <row r="63" spans="1:11" ht="12">
      <c r="A63" s="25"/>
      <c r="B63" s="84" t="s">
        <v>115</v>
      </c>
      <c r="C63" s="27">
        <f>C64-F41-H61</f>
        <v>-2.8953555739208454</v>
      </c>
      <c r="D63" s="60" t="s">
        <v>0</v>
      </c>
      <c r="E63" s="85"/>
      <c r="G63" s="84" t="s">
        <v>122</v>
      </c>
      <c r="H63" s="26"/>
      <c r="I63" s="102">
        <f>H63*($F$38+$F$41)</f>
        <v>0</v>
      </c>
      <c r="J63" s="132" t="s">
        <v>120</v>
      </c>
      <c r="K63" s="102">
        <f>H63*0.75*System!$B$28</f>
        <v>0</v>
      </c>
    </row>
    <row r="64" spans="1:11" ht="12.75" thickBot="1">
      <c r="A64" s="98"/>
      <c r="B64" s="204" t="s">
        <v>116</v>
      </c>
      <c r="C64" s="98">
        <f>C61+C62</f>
        <v>35.5</v>
      </c>
      <c r="D64" s="98" t="s">
        <v>0</v>
      </c>
      <c r="E64" s="98"/>
      <c r="F64" s="205"/>
      <c r="G64" s="205"/>
      <c r="H64" s="205"/>
      <c r="I64" s="205"/>
      <c r="J64" s="206" t="s">
        <v>123</v>
      </c>
      <c r="K64" s="82">
        <f>SUM(K60:K63)</f>
        <v>14.434245476921111</v>
      </c>
    </row>
    <row r="65" ht="12.75" thickTop="1">
      <c r="K65" s="9"/>
    </row>
    <row r="66" spans="2:11" ht="13.5">
      <c r="B66" s="1" t="s">
        <v>127</v>
      </c>
      <c r="C66" s="107">
        <f>0.8192*(H41-H51)/(206.65-1.0665*H41)+(K62+K63)/(1000*G51)</f>
        <v>0.04258742597940056</v>
      </c>
      <c r="D66" t="s">
        <v>239</v>
      </c>
      <c r="I66" s="1" t="s">
        <v>118</v>
      </c>
      <c r="J66" s="10">
        <f>K64</f>
        <v>14.434245476921111</v>
      </c>
      <c r="K66" s="99" t="s">
        <v>117</v>
      </c>
    </row>
    <row r="67" spans="3:11" ht="12">
      <c r="C67" s="107">
        <f>C66*G51/0.794</f>
        <v>0.05405619723244108</v>
      </c>
      <c r="D67" t="s">
        <v>240</v>
      </c>
      <c r="I67" s="1" t="s">
        <v>126</v>
      </c>
      <c r="J67" s="193">
        <v>20</v>
      </c>
      <c r="K67" s="194">
        <f>$J$66/(0.0015461*J67^2-0.10711*J67+3.1962)-1</f>
        <v>7.630650712085998</v>
      </c>
    </row>
    <row r="68" spans="9:11" ht="12">
      <c r="I68" s="1" t="s">
        <v>125</v>
      </c>
      <c r="J68" s="61">
        <f>D60+7</f>
        <v>41225</v>
      </c>
      <c r="K68" s="106">
        <f>J68-D60</f>
        <v>7</v>
      </c>
    </row>
    <row r="69" spans="2:11" ht="12">
      <c r="B69" s="1" t="s">
        <v>130</v>
      </c>
      <c r="C69" s="8">
        <f>(690*C66+4*(0.1808*H41+0.8192*H51-0.1))*5*G51</f>
        <v>220.99420716101554</v>
      </c>
      <c r="D69" t="s">
        <v>128</v>
      </c>
      <c r="I69" s="1" t="s">
        <v>124</v>
      </c>
      <c r="J69" s="193">
        <v>10</v>
      </c>
      <c r="K69" s="194">
        <f>$J$66/(0.0015461*J69^2-0.10711*J69+3.1962)-1</f>
        <v>5.331614756666905</v>
      </c>
    </row>
    <row r="70" spans="3:11" ht="12">
      <c r="C70" s="8">
        <f>C69*4.18684</f>
        <v>925.2673863100263</v>
      </c>
      <c r="D70" t="s">
        <v>129</v>
      </c>
      <c r="I70" s="1" t="s">
        <v>125</v>
      </c>
      <c r="J70" s="61">
        <f>J68+7</f>
        <v>41232</v>
      </c>
      <c r="K70" s="106">
        <f>J70-J68</f>
        <v>7</v>
      </c>
    </row>
  </sheetData>
  <sheetProtection/>
  <mergeCells count="13">
    <mergeCell ref="F44:K44"/>
    <mergeCell ref="F45:K45"/>
    <mergeCell ref="F46:K46"/>
    <mergeCell ref="H3:K3"/>
    <mergeCell ref="A29:B29"/>
    <mergeCell ref="A30:B30"/>
    <mergeCell ref="D43:K43"/>
    <mergeCell ref="D2:E2"/>
    <mergeCell ref="B3:E3"/>
    <mergeCell ref="E5:H5"/>
    <mergeCell ref="I25:J25"/>
    <mergeCell ref="A27:B27"/>
    <mergeCell ref="A28:B28"/>
  </mergeCells>
  <printOptions horizontalCentered="1" verticalCentered="1"/>
  <pageMargins left="0.5905511811023623" right="0" top="0.3937007874015748" bottom="0.3937007874015748" header="0.5118110236220472" footer="0.5118110236220472"/>
  <pageSetup horizontalDpi="600" verticalDpi="600" orientation="portrait" paperSize="9" scale="95" r:id="rId3"/>
  <ignoredErrors>
    <ignoredError sqref="K6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zoomScalePageLayoutView="0" workbookViewId="0" topLeftCell="A104">
      <selection activeCell="I120" sqref="I120"/>
    </sheetView>
  </sheetViews>
  <sheetFormatPr defaultColWidth="8.7109375" defaultRowHeight="12" outlineLevelRow="1"/>
  <cols>
    <col min="1" max="1" width="9.28125" style="67" bestFit="1" customWidth="1"/>
    <col min="2" max="2" width="8.7109375" style="69" customWidth="1"/>
    <col min="3" max="5" width="8.7109375" style="0" customWidth="1"/>
    <col min="6" max="6" width="6.7109375" style="69" bestFit="1" customWidth="1"/>
    <col min="7" max="7" width="8.7109375" style="69" customWidth="1"/>
    <col min="8" max="16" width="8.7109375" style="0" customWidth="1"/>
    <col min="17" max="17" width="8.7109375" style="69" customWidth="1"/>
  </cols>
  <sheetData>
    <row r="1" spans="1:17" s="127" customFormat="1" ht="12">
      <c r="A1" s="247" t="s">
        <v>151</v>
      </c>
      <c r="B1" s="247"/>
      <c r="C1" s="247"/>
      <c r="D1" s="247"/>
      <c r="E1" s="247"/>
      <c r="F1" s="247"/>
      <c r="G1" s="247"/>
      <c r="H1" s="247"/>
      <c r="Q1" s="126"/>
    </row>
    <row r="2" spans="1:17" s="127" customFormat="1" ht="12">
      <c r="A2" s="247"/>
      <c r="B2" s="247"/>
      <c r="C2" s="247"/>
      <c r="D2" s="247"/>
      <c r="E2" s="247"/>
      <c r="F2" s="247"/>
      <c r="G2" s="247"/>
      <c r="H2" s="247"/>
      <c r="Q2" s="126"/>
    </row>
    <row r="3" spans="1:17" s="127" customFormat="1" ht="12">
      <c r="A3" s="130"/>
      <c r="B3" s="130"/>
      <c r="C3" s="130"/>
      <c r="D3" s="130"/>
      <c r="E3" s="130"/>
      <c r="F3" s="130"/>
      <c r="G3" s="130"/>
      <c r="H3" s="130"/>
      <c r="Q3" s="126"/>
    </row>
    <row r="4" spans="1:17" s="64" customFormat="1" ht="12">
      <c r="A4" s="129"/>
      <c r="B4" s="129"/>
      <c r="C4" s="129"/>
      <c r="D4" s="129"/>
      <c r="E4" s="129"/>
      <c r="F4" s="129"/>
      <c r="G4" s="129"/>
      <c r="H4" s="129"/>
      <c r="Q4" s="117"/>
    </row>
    <row r="5" spans="1:17" s="7" customFormat="1" ht="15.75">
      <c r="A5" s="70" t="s">
        <v>152</v>
      </c>
      <c r="B5" s="71"/>
      <c r="F5" s="71"/>
      <c r="G5" s="71"/>
      <c r="Q5" s="71"/>
    </row>
    <row r="6" ht="12">
      <c r="A6" s="67" t="s">
        <v>136</v>
      </c>
    </row>
    <row r="7" ht="12" hidden="1" outlineLevel="1">
      <c r="A7" s="67" t="s">
        <v>175</v>
      </c>
    </row>
    <row r="8" spans="1:11" ht="12" hidden="1" outlineLevel="1">
      <c r="A8" s="79" t="s">
        <v>102</v>
      </c>
      <c r="B8" s="72"/>
      <c r="C8" s="92" t="s">
        <v>103</v>
      </c>
      <c r="D8" s="79"/>
      <c r="E8" s="79"/>
      <c r="F8" s="112" t="s">
        <v>99</v>
      </c>
      <c r="G8" s="248" t="s">
        <v>133</v>
      </c>
      <c r="H8" s="248"/>
      <c r="I8" s="111"/>
      <c r="J8" s="249" t="s">
        <v>134</v>
      </c>
      <c r="K8" s="249"/>
    </row>
    <row r="9" spans="1:11" ht="12" hidden="1" outlineLevel="1">
      <c r="A9" s="91"/>
      <c r="B9" s="75"/>
      <c r="C9" s="93"/>
      <c r="D9" s="91"/>
      <c r="E9" s="91"/>
      <c r="F9" s="113" t="s">
        <v>98</v>
      </c>
      <c r="G9" s="80" t="s">
        <v>38</v>
      </c>
      <c r="H9" s="76" t="s">
        <v>7</v>
      </c>
      <c r="I9" s="76"/>
      <c r="J9" s="91" t="s">
        <v>38</v>
      </c>
      <c r="K9" s="76" t="s">
        <v>7</v>
      </c>
    </row>
    <row r="10" spans="1:6" ht="12" hidden="1" outlineLevel="1">
      <c r="A10" s="73"/>
      <c r="B10" s="74"/>
      <c r="C10" s="77" t="s">
        <v>101</v>
      </c>
      <c r="D10" s="51"/>
      <c r="E10" s="3">
        <v>16</v>
      </c>
      <c r="F10" s="74" t="s">
        <v>7</v>
      </c>
    </row>
    <row r="11" spans="1:6" ht="12" hidden="1" outlineLevel="1">
      <c r="A11" s="73">
        <f>Brauprotokoll!$D$2</f>
        <v>41210</v>
      </c>
      <c r="B11" s="78">
        <v>0.4305555555555556</v>
      </c>
      <c r="C11" s="135" t="s">
        <v>179</v>
      </c>
      <c r="D11" s="51"/>
      <c r="E11" s="51"/>
      <c r="F11" s="74"/>
    </row>
    <row r="12" spans="1:18" ht="12" hidden="1" outlineLevel="1">
      <c r="A12" s="73"/>
      <c r="B12" s="74"/>
      <c r="C12" s="77" t="s">
        <v>53</v>
      </c>
      <c r="D12" s="51"/>
      <c r="E12" s="168">
        <f>G12/G13</f>
        <v>3.6619718309859155</v>
      </c>
      <c r="G12" s="115">
        <f>Brauprotokoll!$I$6</f>
        <v>26</v>
      </c>
      <c r="H12" s="15">
        <f>H14+System!$B$35*G13*(H14-H13)/(G12+System!$B$10)</f>
        <v>61.325944272445824</v>
      </c>
      <c r="O12" s="1"/>
      <c r="Q12" s="8"/>
      <c r="R12" s="69" t="s">
        <v>106</v>
      </c>
    </row>
    <row r="13" spans="1:18" ht="12" hidden="1" outlineLevel="1">
      <c r="A13" s="73"/>
      <c r="B13" s="74"/>
      <c r="C13" s="77" t="s">
        <v>20</v>
      </c>
      <c r="D13" s="51"/>
      <c r="F13" s="74">
        <v>0.003472222222222222</v>
      </c>
      <c r="G13" s="114">
        <f>Brauprotokoll!$C$22</f>
        <v>7.1</v>
      </c>
      <c r="H13" s="18">
        <v>16</v>
      </c>
      <c r="O13" s="1" t="s">
        <v>142</v>
      </c>
      <c r="P13" s="9">
        <f>G12+System!$B$35*G13</f>
        <v>28.84</v>
      </c>
      <c r="Q13" t="s">
        <v>2</v>
      </c>
      <c r="R13" s="69">
        <v>0</v>
      </c>
    </row>
    <row r="14" spans="1:18" ht="12" hidden="1" outlineLevel="1">
      <c r="A14" s="73">
        <f>Brauprotokoll!$D$2</f>
        <v>41210</v>
      </c>
      <c r="B14" s="74">
        <f>A11+B11+F13</f>
        <v>41210.434027777774</v>
      </c>
      <c r="C14" s="77" t="s">
        <v>97</v>
      </c>
      <c r="D14" s="51"/>
      <c r="E14" s="51"/>
      <c r="F14" s="78">
        <v>0.013888888888888888</v>
      </c>
      <c r="G14" s="115">
        <f>G12+System!$B$22*G13</f>
        <v>31.325</v>
      </c>
      <c r="H14" s="18">
        <v>57</v>
      </c>
      <c r="O14" s="1" t="s">
        <v>144</v>
      </c>
      <c r="P14" s="9">
        <f>P13+System!$B$10</f>
        <v>29.756666666666668</v>
      </c>
      <c r="Q14" t="s">
        <v>2</v>
      </c>
      <c r="R14" s="69">
        <f aca="true" t="shared" si="0" ref="R14:R26">B14-$A$11-$B$11</f>
        <v>0.003472222218179999</v>
      </c>
    </row>
    <row r="15" spans="1:18" ht="12" hidden="1" outlineLevel="1">
      <c r="A15" s="73">
        <f>Brauprotokoll!$D$2</f>
        <v>41210</v>
      </c>
      <c r="B15" s="74">
        <f aca="true" t="shared" si="1" ref="B15:B26">B14+F14</f>
        <v>41210.447916666664</v>
      </c>
      <c r="C15" s="77" t="s">
        <v>100</v>
      </c>
      <c r="D15" s="51"/>
      <c r="E15" s="51"/>
      <c r="F15" s="74">
        <f>(H16-H15)*$P$14*System!$B$31/(System!$B$17*60*1440)</f>
        <v>0.00451148733019093</v>
      </c>
      <c r="H15" s="8">
        <f>H14-(H14-$E$10)*(1-EXP(-F14*1440/(System!$B$11*$P$14)))</f>
        <v>56.44086920218436</v>
      </c>
      <c r="O15" s="2"/>
      <c r="Q15"/>
      <c r="R15" s="69">
        <f t="shared" si="0"/>
        <v>0.017361111108685767</v>
      </c>
    </row>
    <row r="16" spans="1:18" ht="12" hidden="1" outlineLevel="1">
      <c r="A16" s="73">
        <f>Brauprotokoll!$D$2</f>
        <v>41210</v>
      </c>
      <c r="B16" s="74">
        <f t="shared" si="1"/>
        <v>41210.45242815399</v>
      </c>
      <c r="C16" s="77" t="s">
        <v>97</v>
      </c>
      <c r="D16" s="51"/>
      <c r="E16" s="51"/>
      <c r="F16" s="78">
        <v>0.020833333333333332</v>
      </c>
      <c r="H16" s="3">
        <v>62</v>
      </c>
      <c r="Q16"/>
      <c r="R16" s="69">
        <f t="shared" si="0"/>
        <v>0.021872598436958546</v>
      </c>
    </row>
    <row r="17" spans="1:18" ht="12" hidden="1" outlineLevel="1">
      <c r="A17" s="73">
        <f>Brauprotokoll!$D$2</f>
        <v>41210</v>
      </c>
      <c r="B17" s="74">
        <f t="shared" si="1"/>
        <v>41210.47326148733</v>
      </c>
      <c r="C17" s="77" t="s">
        <v>100</v>
      </c>
      <c r="D17" s="51"/>
      <c r="E17" s="51"/>
      <c r="F17" s="74">
        <f>(H18-H17)*$P$14*System!$B$31/(System!$B$17*60*1440)</f>
        <v>0.0007610355058927259</v>
      </c>
      <c r="H17" s="8">
        <f>H16-(H16-$E$10)*(1-EXP(-F16*1440/(System!$B$11*$P$14)))</f>
        <v>61.06223921084127</v>
      </c>
      <c r="M17" s="2"/>
      <c r="O17" s="68"/>
      <c r="Q17"/>
      <c r="R17" s="69">
        <f t="shared" si="0"/>
        <v>0.0427059317727172</v>
      </c>
    </row>
    <row r="18" spans="1:18" ht="12" hidden="1" outlineLevel="1">
      <c r="A18" s="73">
        <f>Brauprotokoll!$D$2</f>
        <v>41210</v>
      </c>
      <c r="B18" s="74">
        <f t="shared" si="1"/>
        <v>41210.47402252283</v>
      </c>
      <c r="C18" s="77" t="s">
        <v>97</v>
      </c>
      <c r="D18" s="51"/>
      <c r="E18" s="51"/>
      <c r="F18" s="78">
        <v>0.020833333333333332</v>
      </c>
      <c r="H18" s="18">
        <v>62</v>
      </c>
      <c r="Q18"/>
      <c r="R18" s="69">
        <f t="shared" si="0"/>
        <v>0.04346696727508159</v>
      </c>
    </row>
    <row r="19" spans="1:18" ht="12" hidden="1" outlineLevel="1">
      <c r="A19" s="73">
        <f>Brauprotokoll!$D$2</f>
        <v>41210</v>
      </c>
      <c r="B19" s="74">
        <f t="shared" si="1"/>
        <v>41210.49485585617</v>
      </c>
      <c r="C19" s="77" t="s">
        <v>100</v>
      </c>
      <c r="D19" s="51"/>
      <c r="E19" s="51"/>
      <c r="F19" s="74">
        <f>(H20-H19)*$P$14*System!$B$31/(System!$B$17*60*1440)</f>
        <v>0.005630308233165454</v>
      </c>
      <c r="H19" s="8">
        <f>H18-(H18-$E$10)*(1-EXP(-F18*1440/(System!$B$11*$P$14)))</f>
        <v>61.06223921084127</v>
      </c>
      <c r="Q19"/>
      <c r="R19" s="69">
        <f t="shared" si="0"/>
        <v>0.06430030061084024</v>
      </c>
    </row>
    <row r="20" spans="1:18" ht="12" hidden="1" outlineLevel="1">
      <c r="A20" s="73">
        <f>Brauprotokoll!$D$2</f>
        <v>41210</v>
      </c>
      <c r="B20" s="74">
        <f t="shared" si="1"/>
        <v>41210.5004861644</v>
      </c>
      <c r="C20" s="77" t="s">
        <v>97</v>
      </c>
      <c r="D20" s="51"/>
      <c r="E20" s="51"/>
      <c r="F20" s="78">
        <v>0.013888888888888888</v>
      </c>
      <c r="H20" s="18">
        <v>68</v>
      </c>
      <c r="Q20"/>
      <c r="R20" s="69">
        <f t="shared" si="0"/>
        <v>0.06993060884188806</v>
      </c>
    </row>
    <row r="21" spans="1:18" ht="12" hidden="1" outlineLevel="1">
      <c r="A21" s="73">
        <f>Brauprotokoll!$D$2</f>
        <v>41210</v>
      </c>
      <c r="B21" s="74">
        <f t="shared" si="1"/>
        <v>41210.51437505329</v>
      </c>
      <c r="C21" s="77" t="s">
        <v>100</v>
      </c>
      <c r="D21" s="51"/>
      <c r="E21" s="51"/>
      <c r="F21" s="74">
        <f>(H22-H21)*$P$14*System!$B$31/(System!$B$17*60*1440)</f>
        <v>0.004633227833412887</v>
      </c>
      <c r="H21" s="8">
        <f>H20-(H20-$E$10)*(1-EXP(-F20*1440/(System!$B$11*$P$14)))</f>
        <v>67.29085850033138</v>
      </c>
      <c r="Q21"/>
      <c r="R21" s="69">
        <f t="shared" si="0"/>
        <v>0.08381949773239383</v>
      </c>
    </row>
    <row r="22" spans="1:18" ht="12" hidden="1" outlineLevel="1">
      <c r="A22" s="73">
        <f>Brauprotokoll!$D$2</f>
        <v>41210</v>
      </c>
      <c r="B22" s="74">
        <f t="shared" si="1"/>
        <v>41210.519008281124</v>
      </c>
      <c r="C22" s="77" t="s">
        <v>97</v>
      </c>
      <c r="D22" s="51"/>
      <c r="E22" s="51"/>
      <c r="F22" s="78">
        <v>0.013888888888888888</v>
      </c>
      <c r="H22" s="18">
        <v>73</v>
      </c>
      <c r="Q22"/>
      <c r="R22" s="69">
        <f t="shared" si="0"/>
        <v>0.08845272556855988</v>
      </c>
    </row>
    <row r="23" spans="1:18" ht="12" hidden="1" outlineLevel="1">
      <c r="A23" s="73">
        <f>Brauprotokoll!$D$2</f>
        <v>41210</v>
      </c>
      <c r="B23" s="74">
        <f t="shared" si="1"/>
        <v>41210.532897170015</v>
      </c>
      <c r="C23" s="77" t="s">
        <v>100</v>
      </c>
      <c r="D23" s="51"/>
      <c r="E23" s="51"/>
      <c r="F23" s="74">
        <f>(H24-H23)*$P$14*System!$B$31/(System!$B$17*60*1440)</f>
        <v>0.00468856442578651</v>
      </c>
      <c r="H23" s="8">
        <f>H22-(H22-$E$10)*(1-EXP(-F22*1440/(System!$B$11*$P$14)))</f>
        <v>72.22267181767093</v>
      </c>
      <c r="K23" s="3">
        <v>20</v>
      </c>
      <c r="Q23"/>
      <c r="R23" s="69">
        <f t="shared" si="0"/>
        <v>0.10234161445906564</v>
      </c>
    </row>
    <row r="24" spans="1:18" ht="12" hidden="1" outlineLevel="1">
      <c r="A24" s="73">
        <f>Brauprotokoll!$D$2</f>
        <v>41210</v>
      </c>
      <c r="B24" s="74">
        <f t="shared" si="1"/>
        <v>41210.53758573444</v>
      </c>
      <c r="C24" s="77" t="s">
        <v>132</v>
      </c>
      <c r="D24" s="51"/>
      <c r="E24" s="51"/>
      <c r="F24" s="166">
        <v>0.003472222222222222</v>
      </c>
      <c r="H24" s="18">
        <v>78</v>
      </c>
      <c r="I24" s="103" t="s">
        <v>135</v>
      </c>
      <c r="J24" s="116">
        <f>G14</f>
        <v>31.325</v>
      </c>
      <c r="K24" s="8">
        <f>H24</f>
        <v>78</v>
      </c>
      <c r="L24" s="8"/>
      <c r="O24" s="1" t="s">
        <v>178</v>
      </c>
      <c r="P24" s="9">
        <f>G12+System!$B$35*G13+System!$D$10</f>
        <v>30.57913043478261</v>
      </c>
      <c r="Q24" t="s">
        <v>2</v>
      </c>
      <c r="R24" s="69">
        <f t="shared" si="0"/>
        <v>0.10703017888509847</v>
      </c>
    </row>
    <row r="25" spans="1:18" ht="12" hidden="1" outlineLevel="1">
      <c r="A25" s="73">
        <f>Brauprotokoll!$D$2</f>
        <v>41210</v>
      </c>
      <c r="B25" s="74">
        <f t="shared" si="1"/>
        <v>41210.54105795666</v>
      </c>
      <c r="C25" s="77" t="s">
        <v>131</v>
      </c>
      <c r="D25" s="51"/>
      <c r="E25" s="51"/>
      <c r="F25" s="78">
        <v>0.013888888888888888</v>
      </c>
      <c r="K25" s="108">
        <f>(P13*K24+K23*System!$D$10)/P24</f>
        <v>74.70135926747426</v>
      </c>
      <c r="L25" s="108"/>
      <c r="Q25"/>
      <c r="R25" s="69">
        <f t="shared" si="0"/>
        <v>0.11050240110408693</v>
      </c>
    </row>
    <row r="26" spans="1:18" ht="12" hidden="1" outlineLevel="1">
      <c r="A26" s="87">
        <f>Brauprotokoll!$D$2</f>
        <v>41210</v>
      </c>
      <c r="B26" s="88">
        <f t="shared" si="1"/>
        <v>41210.55494684555</v>
      </c>
      <c r="C26" s="89" t="s">
        <v>104</v>
      </c>
      <c r="D26" s="25"/>
      <c r="E26" s="25"/>
      <c r="F26" s="88">
        <f>A27+B27-B26</f>
        <v>0.05963648778561037</v>
      </c>
      <c r="G26" s="90"/>
      <c r="H26" s="25"/>
      <c r="I26" s="25"/>
      <c r="J26" s="25"/>
      <c r="K26" s="49">
        <f>K25-(K25-$E$10)*(1-EXP(-F25*1440/(System!$D$11*$P$24)))</f>
        <v>73.22770397536122</v>
      </c>
      <c r="L26" s="49"/>
      <c r="M26" s="25"/>
      <c r="N26" s="25"/>
      <c r="O26" s="25"/>
      <c r="P26" s="25"/>
      <c r="Q26" s="25"/>
      <c r="R26" s="90">
        <f t="shared" si="0"/>
        <v>0.1243912899945927</v>
      </c>
    </row>
    <row r="27" spans="1:9" ht="12" hidden="1" outlineLevel="1">
      <c r="A27" s="73">
        <f>Brauprotokoll!$D$2</f>
        <v>41210</v>
      </c>
      <c r="B27" s="78">
        <v>0.6145833333333334</v>
      </c>
      <c r="C27" s="77" t="s">
        <v>105</v>
      </c>
      <c r="D27" s="51"/>
      <c r="E27" s="51"/>
      <c r="F27" s="166">
        <f>Brauprotokoll!$E$36/1440</f>
        <v>0.06944444444444445</v>
      </c>
      <c r="G27" s="117"/>
      <c r="H27" s="18">
        <v>99</v>
      </c>
      <c r="I27" s="8"/>
    </row>
    <row r="28" spans="1:9" ht="12" hidden="1" outlineLevel="1">
      <c r="A28" s="73">
        <f>Brauprotokoll!$D$2</f>
        <v>41210</v>
      </c>
      <c r="B28" s="74">
        <f>A27+B27+F27</f>
        <v>41210.68402777778</v>
      </c>
      <c r="C28" t="s">
        <v>82</v>
      </c>
      <c r="F28" s="74"/>
      <c r="H28" s="8"/>
      <c r="I28" s="8"/>
    </row>
    <row r="29" spans="8:9" ht="12" hidden="1" outlineLevel="1">
      <c r="H29" s="8"/>
      <c r="I29" s="8"/>
    </row>
    <row r="30" spans="8:9" ht="12" hidden="1" outlineLevel="1">
      <c r="H30" s="8"/>
      <c r="I30" s="8"/>
    </row>
    <row r="31" spans="8:9" ht="12" hidden="1" outlineLevel="1">
      <c r="H31" s="8"/>
      <c r="I31" s="8"/>
    </row>
    <row r="32" spans="8:9" ht="12" hidden="1" outlineLevel="1">
      <c r="H32" s="8"/>
      <c r="I32" s="8"/>
    </row>
    <row r="33" spans="8:9" ht="12" hidden="1" outlineLevel="1">
      <c r="H33" s="8"/>
      <c r="I33" s="8"/>
    </row>
    <row r="34" spans="8:9" ht="12" hidden="1" outlineLevel="1">
      <c r="H34" s="8"/>
      <c r="I34" s="8"/>
    </row>
    <row r="35" spans="8:9" ht="12" hidden="1" outlineLevel="1">
      <c r="H35" s="8"/>
      <c r="I35" s="8"/>
    </row>
    <row r="36" ht="12" hidden="1" outlineLevel="1"/>
    <row r="37" ht="12" hidden="1" outlineLevel="1"/>
    <row r="38" ht="12" hidden="1" outlineLevel="1"/>
    <row r="39" ht="12" hidden="1" outlineLevel="1"/>
    <row r="40" ht="12" hidden="1" outlineLevel="1"/>
    <row r="41" ht="12" hidden="1" outlineLevel="1"/>
    <row r="42" ht="12" hidden="1" outlineLevel="1"/>
    <row r="43" ht="12" hidden="1" outlineLevel="1"/>
    <row r="44" ht="12" hidden="1" outlineLevel="1"/>
    <row r="45" ht="12" hidden="1" outlineLevel="1"/>
    <row r="46" ht="12" hidden="1" outlineLevel="1"/>
    <row r="47" ht="12" hidden="1" outlineLevel="1"/>
    <row r="48" ht="12" collapsed="1"/>
    <row r="49" spans="1:17" s="127" customFormat="1" ht="12">
      <c r="A49" s="125"/>
      <c r="B49" s="126"/>
      <c r="F49" s="126"/>
      <c r="G49" s="126"/>
      <c r="Q49" s="126"/>
    </row>
    <row r="50" ht="12"/>
    <row r="51" ht="15.75">
      <c r="A51" s="70" t="s">
        <v>137</v>
      </c>
    </row>
    <row r="52" ht="12">
      <c r="A52" s="67" t="s">
        <v>150</v>
      </c>
    </row>
    <row r="53" ht="12">
      <c r="A53" s="67" t="s">
        <v>177</v>
      </c>
    </row>
    <row r="54" ht="12" hidden="1" outlineLevel="1">
      <c r="A54" s="67" t="s">
        <v>174</v>
      </c>
    </row>
    <row r="55" spans="1:11" ht="12" hidden="1" outlineLevel="1">
      <c r="A55" s="79" t="s">
        <v>102</v>
      </c>
      <c r="B55" s="72"/>
      <c r="C55" s="92" t="s">
        <v>103</v>
      </c>
      <c r="D55" s="79"/>
      <c r="E55" s="79"/>
      <c r="F55" s="112" t="s">
        <v>99</v>
      </c>
      <c r="G55" s="248" t="s">
        <v>133</v>
      </c>
      <c r="H55" s="248"/>
      <c r="I55" s="111"/>
      <c r="J55" s="249" t="s">
        <v>134</v>
      </c>
      <c r="K55" s="249"/>
    </row>
    <row r="56" spans="1:18" ht="12" hidden="1" outlineLevel="1">
      <c r="A56" s="91"/>
      <c r="B56" s="75"/>
      <c r="C56" s="93"/>
      <c r="D56" s="91"/>
      <c r="E56" s="91"/>
      <c r="F56" s="113" t="s">
        <v>98</v>
      </c>
      <c r="G56" s="80" t="s">
        <v>38</v>
      </c>
      <c r="H56" s="76" t="s">
        <v>7</v>
      </c>
      <c r="I56" s="76"/>
      <c r="J56" s="91" t="s">
        <v>38</v>
      </c>
      <c r="K56" s="76" t="s">
        <v>7</v>
      </c>
      <c r="L56" s="25"/>
      <c r="M56" s="25"/>
      <c r="N56" s="25"/>
      <c r="O56" s="140" t="s">
        <v>167</v>
      </c>
      <c r="P56" s="48"/>
      <c r="Q56" s="48"/>
      <c r="R56" s="25"/>
    </row>
    <row r="57" spans="1:17" ht="12" hidden="1" outlineLevel="1">
      <c r="A57" s="73"/>
      <c r="B57" s="74"/>
      <c r="C57" s="77" t="s">
        <v>101</v>
      </c>
      <c r="D57" s="51"/>
      <c r="E57" s="3">
        <v>20</v>
      </c>
      <c r="F57" s="74" t="s">
        <v>7</v>
      </c>
      <c r="I57" s="19"/>
      <c r="O57" s="1" t="s">
        <v>197</v>
      </c>
      <c r="P57" s="2">
        <f>(2.2+System!B35)/(2.2+System!B22)</f>
        <v>0.8813559322033898</v>
      </c>
      <c r="Q57" s="139" t="s">
        <v>143</v>
      </c>
    </row>
    <row r="58" spans="1:9" ht="12" hidden="1" outlineLevel="1">
      <c r="A58" s="73">
        <f>Brauprotokoll!$D$2</f>
        <v>41210</v>
      </c>
      <c r="B58" s="78">
        <v>0.3333333333333333</v>
      </c>
      <c r="C58" s="135" t="s">
        <v>179</v>
      </c>
      <c r="D58" s="51"/>
      <c r="E58" s="51"/>
      <c r="F58" s="74"/>
      <c r="I58" s="19"/>
    </row>
    <row r="59" spans="1:18" ht="12" hidden="1" outlineLevel="1">
      <c r="A59" s="73"/>
      <c r="B59" s="74"/>
      <c r="C59" s="77" t="s">
        <v>53</v>
      </c>
      <c r="D59" s="51"/>
      <c r="E59" s="168">
        <f>G59/G60</f>
        <v>3.6619718309859155</v>
      </c>
      <c r="G59" s="115">
        <f>Brauprotokoll!$I$6</f>
        <v>26</v>
      </c>
      <c r="H59" s="15">
        <f>H61+System!$B$35*G60*(H61-H60)/(G59+System!$B$10)</f>
        <v>45.426749226006194</v>
      </c>
      <c r="I59" s="19"/>
      <c r="O59" t="s">
        <v>168</v>
      </c>
      <c r="P59" s="9"/>
      <c r="Q59" s="9"/>
      <c r="R59" s="69" t="s">
        <v>106</v>
      </c>
    </row>
    <row r="60" spans="1:18" ht="12" hidden="1" outlineLevel="1">
      <c r="A60" s="73"/>
      <c r="B60" s="74"/>
      <c r="C60" s="77" t="s">
        <v>20</v>
      </c>
      <c r="D60" s="51"/>
      <c r="F60" s="74">
        <v>0.003472222222222222</v>
      </c>
      <c r="G60" s="114">
        <f>Brauprotokoll!$C$22</f>
        <v>7.1</v>
      </c>
      <c r="H60" s="18">
        <v>20</v>
      </c>
      <c r="I60" s="19"/>
      <c r="O60" s="1" t="s">
        <v>133</v>
      </c>
      <c r="P60" s="122" t="s">
        <v>166</v>
      </c>
      <c r="Q60" s="9"/>
      <c r="R60" s="69">
        <v>0</v>
      </c>
    </row>
    <row r="61" spans="1:18" ht="12" hidden="1" outlineLevel="1">
      <c r="A61" s="73">
        <f>Brauprotokoll!$D$2</f>
        <v>41210</v>
      </c>
      <c r="B61" s="74">
        <f>A58+B58+F60</f>
        <v>41210.336805555555</v>
      </c>
      <c r="C61" s="77" t="s">
        <v>97</v>
      </c>
      <c r="D61" s="51"/>
      <c r="E61" s="51"/>
      <c r="F61" s="78">
        <v>0.013888888888888888</v>
      </c>
      <c r="G61" s="115">
        <f>G59+System!$B$22*G60</f>
        <v>31.325</v>
      </c>
      <c r="H61" s="18">
        <v>43</v>
      </c>
      <c r="I61" s="19"/>
      <c r="J61" s="116"/>
      <c r="O61" s="9">
        <f>System!$B$10+G59+G60*System!B35</f>
        <v>29.756666666666668</v>
      </c>
      <c r="Q61" s="9"/>
      <c r="R61" s="69">
        <f>B61-$A$58-$B$58</f>
        <v>0.003472222221413801</v>
      </c>
    </row>
    <row r="62" spans="1:18" ht="12" hidden="1" outlineLevel="1">
      <c r="A62" s="73">
        <f>Brauprotokoll!$D$2</f>
        <v>41210</v>
      </c>
      <c r="B62" s="74">
        <f aca="true" t="shared" si="2" ref="B62:B74">B61+F61</f>
        <v>41210.350694444445</v>
      </c>
      <c r="C62" s="77" t="s">
        <v>100</v>
      </c>
      <c r="D62" s="51"/>
      <c r="E62" s="51"/>
      <c r="F62" s="74">
        <f>(H63-H62)*$O$61*System!$B$31/(System!$B$17*60*1440)</f>
        <v>0.015673911961282275</v>
      </c>
      <c r="G62" s="115"/>
      <c r="H62" s="8">
        <f>H61-(H61-$E$57)*(1-EXP(-F61*1440/(System!$B$11*$O$61)))</f>
        <v>42.68634125976195</v>
      </c>
      <c r="I62" s="19"/>
      <c r="J62" s="116"/>
      <c r="Q62" s="9"/>
      <c r="R62" s="69">
        <f aca="true" t="shared" si="3" ref="R62:R74">B62-$A$58-$B$58</f>
        <v>0.01736111111191957</v>
      </c>
    </row>
    <row r="63" spans="1:18" ht="12" hidden="1" outlineLevel="1">
      <c r="A63" s="73">
        <f>Brauprotokoll!$D$2</f>
        <v>41210</v>
      </c>
      <c r="B63" s="74">
        <f t="shared" si="2"/>
        <v>41210.36636835641</v>
      </c>
      <c r="C63" s="77" t="s">
        <v>97</v>
      </c>
      <c r="D63" s="51"/>
      <c r="E63" s="51"/>
      <c r="F63" s="78">
        <v>0.010416666666666666</v>
      </c>
      <c r="G63" s="115"/>
      <c r="H63" s="3">
        <v>62</v>
      </c>
      <c r="I63" s="19"/>
      <c r="J63" s="116"/>
      <c r="O63" s="1"/>
      <c r="P63" s="9"/>
      <c r="Q63" s="9"/>
      <c r="R63" s="69">
        <f t="shared" si="3"/>
        <v>0.033035023074868775</v>
      </c>
    </row>
    <row r="64" spans="1:18" ht="12" hidden="1" outlineLevel="1">
      <c r="A64" s="73">
        <f>Brauprotokoll!$D$2</f>
        <v>41210</v>
      </c>
      <c r="B64" s="74">
        <f t="shared" si="2"/>
        <v>41210.37678502307</v>
      </c>
      <c r="C64" s="77" t="s">
        <v>100</v>
      </c>
      <c r="D64" s="51"/>
      <c r="E64" s="51"/>
      <c r="F64" s="74">
        <f>(H65-H64)*$O$61*System!$B$31/(System!$B$17*60*1440)</f>
        <v>0.0019723091259626893</v>
      </c>
      <c r="G64" s="115"/>
      <c r="H64" s="8">
        <f>H63-(H63-$E$57)*(1-EXP(-F63*1440/(System!$B$11*$O$61)))</f>
        <v>61.569687421800204</v>
      </c>
      <c r="I64" s="19"/>
      <c r="J64" s="116"/>
      <c r="M64" s="2"/>
      <c r="O64" s="138"/>
      <c r="P64" s="9"/>
      <c r="Q64" s="9"/>
      <c r="R64" s="69">
        <f t="shared" si="3"/>
        <v>0.04345168973911012</v>
      </c>
    </row>
    <row r="65" spans="1:18" ht="12" hidden="1" outlineLevel="1">
      <c r="A65" s="73">
        <f>Brauprotokoll!$D$2</f>
        <v>41210</v>
      </c>
      <c r="B65" s="74">
        <f t="shared" si="2"/>
        <v>41210.3787573322</v>
      </c>
      <c r="C65" s="77" t="s">
        <v>97</v>
      </c>
      <c r="D65" s="51"/>
      <c r="E65" s="51"/>
      <c r="F65" s="78">
        <v>0.010416666666666666</v>
      </c>
      <c r="G65" s="115"/>
      <c r="H65" s="18">
        <v>64</v>
      </c>
      <c r="I65" s="178"/>
      <c r="J65" s="116"/>
      <c r="M65" s="9"/>
      <c r="Q65" s="9"/>
      <c r="R65" s="69">
        <f t="shared" si="3"/>
        <v>0.04542399886364973</v>
      </c>
    </row>
    <row r="66" spans="1:18" ht="12" hidden="1" outlineLevel="1">
      <c r="A66" s="73">
        <f>Brauprotokoll!$D$2</f>
        <v>41210</v>
      </c>
      <c r="B66" s="74">
        <f t="shared" si="2"/>
        <v>41210.38917399886</v>
      </c>
      <c r="C66" s="77" t="s">
        <v>100</v>
      </c>
      <c r="D66" s="51"/>
      <c r="E66" s="51"/>
      <c r="F66" s="74">
        <f>(H67-H66)*$O$61*System!$B$31/(System!$B$17*60*1440)</f>
        <v>0</v>
      </c>
      <c r="G66" s="115"/>
      <c r="H66" s="8">
        <f>H65-(H65-$E$57)*(1-EXP(-F65*1440/(System!$B$11*$O$61)))</f>
        <v>63.54919634664783</v>
      </c>
      <c r="I66" s="19"/>
      <c r="J66" s="116"/>
      <c r="P66" s="9"/>
      <c r="Q66" s="9"/>
      <c r="R66" s="69">
        <f t="shared" si="3"/>
        <v>0.055840665527891076</v>
      </c>
    </row>
    <row r="67" spans="1:18" ht="12" hidden="1" outlineLevel="1">
      <c r="A67" s="73">
        <f>Brauprotokoll!$D$2</f>
        <v>41210</v>
      </c>
      <c r="B67" s="74">
        <f t="shared" si="2"/>
        <v>41210.38917399886</v>
      </c>
      <c r="C67" s="77" t="s">
        <v>97</v>
      </c>
      <c r="D67" s="51"/>
      <c r="E67" s="51"/>
      <c r="F67" s="78"/>
      <c r="G67" s="115"/>
      <c r="H67" s="18">
        <f>H66</f>
        <v>63.54919634664783</v>
      </c>
      <c r="I67" s="178"/>
      <c r="J67" s="116"/>
      <c r="P67" s="9"/>
      <c r="Q67" s="9"/>
      <c r="R67" s="69">
        <f t="shared" si="3"/>
        <v>0.055840665527891076</v>
      </c>
    </row>
    <row r="68" spans="1:18" ht="12" hidden="1" outlineLevel="1">
      <c r="A68" s="73">
        <f>Brauprotokoll!$D$2</f>
        <v>41210</v>
      </c>
      <c r="B68" s="74">
        <f t="shared" si="2"/>
        <v>41210.38917399886</v>
      </c>
      <c r="C68" s="77" t="s">
        <v>100</v>
      </c>
      <c r="D68" s="51"/>
      <c r="E68" s="51"/>
      <c r="F68" s="74">
        <f>(H69-H68)*$O$61*System!$B$31/(System!$B$17*60*1440)</f>
        <v>0.0036120294739522543</v>
      </c>
      <c r="G68" s="115"/>
      <c r="H68" s="8">
        <f>H67-(H67-$E$57)*(1-EXP(-F67*1440/(System!$B$11*$O$61)))</f>
        <v>63.54919634664783</v>
      </c>
      <c r="I68" s="19"/>
      <c r="J68" s="116">
        <v>0</v>
      </c>
      <c r="K68" s="3">
        <v>20</v>
      </c>
      <c r="P68" s="9"/>
      <c r="Q68" s="9"/>
      <c r="R68" s="69">
        <f t="shared" si="3"/>
        <v>0.055840665527891076</v>
      </c>
    </row>
    <row r="69" spans="1:18" ht="12" hidden="1" outlineLevel="1">
      <c r="A69" s="73">
        <f>Brauprotokoll!$D$2</f>
        <v>41210</v>
      </c>
      <c r="B69" s="74">
        <f t="shared" si="2"/>
        <v>41210.39278602834</v>
      </c>
      <c r="C69" s="77" t="s">
        <v>138</v>
      </c>
      <c r="D69" s="51"/>
      <c r="E69" s="51"/>
      <c r="F69" s="78">
        <v>0.003472222222222222</v>
      </c>
      <c r="G69" s="115"/>
      <c r="H69" s="18">
        <v>68</v>
      </c>
      <c r="I69" s="176" t="s">
        <v>135</v>
      </c>
      <c r="J69" s="121">
        <f>G61-G70</f>
        <v>18.251722352842798</v>
      </c>
      <c r="K69" s="8">
        <f>H69</f>
        <v>68</v>
      </c>
      <c r="P69" s="9">
        <f>System!$D$10+G59+G60*System!$B$35-IF(ISERROR(G70),1,G70)*$P$57</f>
        <v>19.05691962711863</v>
      </c>
      <c r="Q69" s="9"/>
      <c r="R69" s="69">
        <f t="shared" si="3"/>
        <v>0.05945269500322564</v>
      </c>
    </row>
    <row r="70" spans="1:18" ht="12" hidden="1" outlineLevel="1">
      <c r="A70" s="73">
        <f>Brauprotokoll!$D$2</f>
        <v>41210</v>
      </c>
      <c r="B70" s="74">
        <f t="shared" si="2"/>
        <v>41210.396258250556</v>
      </c>
      <c r="C70" s="77" t="s">
        <v>141</v>
      </c>
      <c r="D70" s="51"/>
      <c r="E70" s="51"/>
      <c r="F70" s="74">
        <f>(H71-H70)*O70*System!$B$31/(System!$B$17*60*1440)</f>
        <v>0.010310437536494214</v>
      </c>
      <c r="G70" s="136">
        <f>G72+F71*24*System!$B$19</f>
        <v>13.073277647157203</v>
      </c>
      <c r="H70" s="8">
        <f>H69-(H69-$E$57)*(1-EXP(-F69*1440/(System!$B$11*$O$70)))</f>
        <v>67.60743627242259</v>
      </c>
      <c r="I70" s="19"/>
      <c r="K70" s="118">
        <f>((O61-O70)*K69+K68*System!$D$10)/P69</f>
        <v>63.61953020199694</v>
      </c>
      <c r="O70" s="9">
        <f>System!$B$10+IF(ISERROR(G70),1,G70)*$P$57</f>
        <v>12.438877474330642</v>
      </c>
      <c r="R70" s="69">
        <f t="shared" si="3"/>
        <v>0.0629249172222141</v>
      </c>
    </row>
    <row r="71" spans="1:18" ht="12" hidden="1" outlineLevel="1">
      <c r="A71" s="73">
        <f>Brauprotokoll!$D$2</f>
        <v>41210</v>
      </c>
      <c r="B71" s="74">
        <f t="shared" si="2"/>
        <v>41210.40656868809</v>
      </c>
      <c r="C71" s="77" t="s">
        <v>139</v>
      </c>
      <c r="D71" s="51"/>
      <c r="E71" s="51"/>
      <c r="F71" s="78">
        <v>0.006944444444444444</v>
      </c>
      <c r="G71" s="124">
        <f>G70/G61</f>
        <v>0.4173432608829115</v>
      </c>
      <c r="H71" s="18">
        <v>98</v>
      </c>
      <c r="I71" s="19"/>
      <c r="J71" s="116"/>
      <c r="K71" s="50"/>
      <c r="L71" s="8"/>
      <c r="O71" s="1"/>
      <c r="P71" s="9"/>
      <c r="R71" s="69">
        <f t="shared" si="3"/>
        <v>0.07323535475976922</v>
      </c>
    </row>
    <row r="72" spans="1:18" ht="12" hidden="1" outlineLevel="1">
      <c r="A72" s="73">
        <f>Brauprotokoll!$D$2</f>
        <v>41210</v>
      </c>
      <c r="B72" s="74">
        <f t="shared" si="2"/>
        <v>41210.41351313254</v>
      </c>
      <c r="C72" s="77" t="s">
        <v>140</v>
      </c>
      <c r="D72" s="51"/>
      <c r="E72" s="51"/>
      <c r="F72" s="166">
        <v>0.003472222222222222</v>
      </c>
      <c r="G72" s="116">
        <f>P72*(K73-K72)/(H71-K72)/P57</f>
        <v>12.695436453555297</v>
      </c>
      <c r="H72" s="8">
        <f>H71</f>
        <v>98</v>
      </c>
      <c r="I72" s="176" t="s">
        <v>135</v>
      </c>
      <c r="J72" s="116">
        <f>G61-F71*24*System!$B$19</f>
        <v>30.947158806398093</v>
      </c>
      <c r="K72" s="50">
        <f>K70-(K70-$E$57)*(1-EXP(-(F70+F71)*1440/(System!$D$11*P69)))</f>
        <v>61.46379511081304</v>
      </c>
      <c r="L72" s="8"/>
      <c r="O72" s="1"/>
      <c r="P72" s="9">
        <f>System!$D$10+G59+G60*System!$B$35-F71*24*System!$B$19</f>
        <v>30.201289241180703</v>
      </c>
      <c r="R72" s="69">
        <f t="shared" si="3"/>
        <v>0.0801797992050221</v>
      </c>
    </row>
    <row r="73" spans="1:18" ht="12" hidden="1" outlineLevel="1">
      <c r="A73" s="73">
        <f>Brauprotokoll!$D$2</f>
        <v>41210</v>
      </c>
      <c r="B73" s="74">
        <f t="shared" si="2"/>
        <v>41210.41698535476</v>
      </c>
      <c r="C73" s="77" t="s">
        <v>147</v>
      </c>
      <c r="D73" s="51"/>
      <c r="E73" s="51"/>
      <c r="F73" s="78">
        <v>0.013888888888888888</v>
      </c>
      <c r="G73" s="116">
        <v>0</v>
      </c>
      <c r="H73" s="8">
        <f>K73</f>
        <v>75</v>
      </c>
      <c r="I73" s="19"/>
      <c r="J73" s="116"/>
      <c r="K73" s="119">
        <v>75</v>
      </c>
      <c r="L73" s="108"/>
      <c r="P73" s="9"/>
      <c r="Q73" s="9"/>
      <c r="R73" s="69">
        <f t="shared" si="3"/>
        <v>0.08365202142401057</v>
      </c>
    </row>
    <row r="74" spans="1:18" ht="12" hidden="1" outlineLevel="1">
      <c r="A74" s="87">
        <f>Brauprotokoll!$D$2</f>
        <v>41210</v>
      </c>
      <c r="B74" s="88">
        <f t="shared" si="2"/>
        <v>41210.43087424365</v>
      </c>
      <c r="C74" s="89" t="s">
        <v>104</v>
      </c>
      <c r="D74" s="25"/>
      <c r="E74" s="25"/>
      <c r="F74" s="88">
        <f>A75+B75-B74</f>
        <v>0.05523686746164458</v>
      </c>
      <c r="G74" s="120"/>
      <c r="H74" s="25"/>
      <c r="I74" s="53"/>
      <c r="J74" s="120"/>
      <c r="K74" s="49">
        <f>K73-(K73-$E$57)*(1-EXP(-F73*1440/(System!$D$11*P72)))</f>
        <v>73.60221198562412</v>
      </c>
      <c r="L74" s="49"/>
      <c r="M74" s="25"/>
      <c r="N74" s="25"/>
      <c r="O74" s="25"/>
      <c r="P74" s="27"/>
      <c r="Q74" s="27"/>
      <c r="R74" s="90">
        <f t="shared" si="3"/>
        <v>0.09754091031451634</v>
      </c>
    </row>
    <row r="75" spans="1:9" ht="12" hidden="1" outlineLevel="1">
      <c r="A75" s="73">
        <f>Brauprotokoll!$D$2</f>
        <v>41210</v>
      </c>
      <c r="B75" s="78">
        <v>0.4861111111111111</v>
      </c>
      <c r="C75" s="77" t="s">
        <v>105</v>
      </c>
      <c r="D75" s="51"/>
      <c r="E75" s="51"/>
      <c r="F75" s="166">
        <f>Brauprotokoll!$E$36/1440</f>
        <v>0.06944444444444445</v>
      </c>
      <c r="G75" s="117"/>
      <c r="H75" s="8">
        <f>H71</f>
        <v>98</v>
      </c>
      <c r="I75" s="177"/>
    </row>
    <row r="76" spans="1:11" ht="12" hidden="1" outlineLevel="1">
      <c r="A76" s="73">
        <f>Brauprotokoll!$D$2</f>
        <v>41210</v>
      </c>
      <c r="B76" s="74">
        <f>A75+B75+F75</f>
        <v>41210.555555555555</v>
      </c>
      <c r="C76" t="s">
        <v>82</v>
      </c>
      <c r="F76" s="74"/>
      <c r="G76" s="180"/>
      <c r="H76" s="108"/>
      <c r="I76" s="177"/>
      <c r="J76" s="64"/>
      <c r="K76" s="64"/>
    </row>
    <row r="77" spans="8:9" ht="12" hidden="1" outlineLevel="1">
      <c r="H77" s="8"/>
      <c r="I77" s="177"/>
    </row>
    <row r="78" spans="8:9" ht="12" hidden="1" outlineLevel="1">
      <c r="H78" s="8"/>
      <c r="I78" s="8"/>
    </row>
    <row r="79" spans="8:9" ht="12" hidden="1" outlineLevel="1">
      <c r="H79" s="8"/>
      <c r="I79" s="8"/>
    </row>
    <row r="80" spans="8:9" ht="12" hidden="1" outlineLevel="1">
      <c r="H80" s="8"/>
      <c r="I80" s="8"/>
    </row>
    <row r="81" spans="8:9" ht="12" hidden="1" outlineLevel="1">
      <c r="H81" s="8"/>
      <c r="I81" s="8"/>
    </row>
    <row r="82" spans="8:9" ht="12" hidden="1" outlineLevel="1">
      <c r="H82" s="8"/>
      <c r="I82" s="8"/>
    </row>
    <row r="83" spans="8:9" ht="12" hidden="1" outlineLevel="1">
      <c r="H83" s="8"/>
      <c r="I83" s="8"/>
    </row>
    <row r="84" ht="12" hidden="1" outlineLevel="1"/>
    <row r="85" ht="12" hidden="1" outlineLevel="1"/>
    <row r="86" ht="12" hidden="1" outlineLevel="1"/>
    <row r="87" ht="12" hidden="1" outlineLevel="1"/>
    <row r="88" ht="12" hidden="1" outlineLevel="1"/>
    <row r="89" ht="12" hidden="1" outlineLevel="1"/>
    <row r="90" ht="12" hidden="1" outlineLevel="1"/>
    <row r="91" ht="12" hidden="1" outlineLevel="1"/>
    <row r="92" ht="12" hidden="1" outlineLevel="1"/>
    <row r="93" ht="12" hidden="1" outlineLevel="1"/>
    <row r="94" ht="12" hidden="1" outlineLevel="1"/>
    <row r="95" ht="12" hidden="1" outlineLevel="1"/>
    <row r="96" ht="12" hidden="1" outlineLevel="1"/>
    <row r="97" ht="12" hidden="1" outlineLevel="1"/>
    <row r="98" ht="12" collapsed="1"/>
    <row r="99" spans="1:17" s="127" customFormat="1" ht="12">
      <c r="A99" s="125"/>
      <c r="B99" s="126"/>
      <c r="F99" s="126"/>
      <c r="G99" s="126"/>
      <c r="Q99" s="126"/>
    </row>
    <row r="100" spans="1:17" s="64" customFormat="1" ht="12">
      <c r="A100" s="128"/>
      <c r="B100" s="117"/>
      <c r="F100" s="117"/>
      <c r="G100" s="117"/>
      <c r="Q100" s="117"/>
    </row>
    <row r="101" ht="15.75">
      <c r="A101" s="70" t="s">
        <v>111</v>
      </c>
    </row>
    <row r="102" ht="12">
      <c r="A102" s="67" t="s">
        <v>145</v>
      </c>
    </row>
    <row r="103" ht="12">
      <c r="A103" s="67" t="s">
        <v>146</v>
      </c>
    </row>
    <row r="104" ht="12"/>
    <row r="105" ht="12" outlineLevel="1">
      <c r="A105" s="167" t="s">
        <v>169</v>
      </c>
    </row>
    <row r="106" ht="12" outlineLevel="1">
      <c r="A106" s="67" t="s">
        <v>170</v>
      </c>
    </row>
    <row r="107" ht="12" outlineLevel="1">
      <c r="A107" s="67" t="s">
        <v>171</v>
      </c>
    </row>
    <row r="108" ht="12" outlineLevel="1">
      <c r="A108" s="67" t="s">
        <v>172</v>
      </c>
    </row>
    <row r="109" ht="12" outlineLevel="1">
      <c r="A109" s="67" t="s">
        <v>173</v>
      </c>
    </row>
    <row r="110" spans="1:11" ht="12" outlineLevel="1">
      <c r="A110" s="79" t="s">
        <v>102</v>
      </c>
      <c r="B110" s="72"/>
      <c r="C110" s="92" t="s">
        <v>103</v>
      </c>
      <c r="D110" s="79"/>
      <c r="E110" s="79"/>
      <c r="F110" s="112" t="s">
        <v>99</v>
      </c>
      <c r="G110" s="248" t="s">
        <v>133</v>
      </c>
      <c r="H110" s="248"/>
      <c r="I110" s="111" t="s">
        <v>135</v>
      </c>
      <c r="J110" s="249" t="s">
        <v>134</v>
      </c>
      <c r="K110" s="249"/>
    </row>
    <row r="111" spans="1:18" ht="12" outlineLevel="1">
      <c r="A111" s="91"/>
      <c r="B111" s="75"/>
      <c r="C111" s="93"/>
      <c r="D111" s="91"/>
      <c r="E111" s="91"/>
      <c r="F111" s="113" t="s">
        <v>98</v>
      </c>
      <c r="G111" s="80" t="s">
        <v>38</v>
      </c>
      <c r="H111" s="76" t="s">
        <v>7</v>
      </c>
      <c r="I111" s="134" t="s">
        <v>160</v>
      </c>
      <c r="J111" s="91" t="s">
        <v>38</v>
      </c>
      <c r="K111" s="76" t="s">
        <v>7</v>
      </c>
      <c r="L111" s="25"/>
      <c r="M111" s="25"/>
      <c r="N111" s="25"/>
      <c r="O111" s="140" t="s">
        <v>167</v>
      </c>
      <c r="P111" s="48"/>
      <c r="Q111" s="48"/>
      <c r="R111" s="25"/>
    </row>
    <row r="112" spans="1:17" ht="12" outlineLevel="1">
      <c r="A112" s="73"/>
      <c r="B112" s="74"/>
      <c r="C112" s="77" t="s">
        <v>101</v>
      </c>
      <c r="D112" s="51"/>
      <c r="E112" s="3">
        <v>25</v>
      </c>
      <c r="F112" s="74" t="s">
        <v>7</v>
      </c>
      <c r="O112" s="1"/>
      <c r="P112" s="1"/>
      <c r="Q112" s="123"/>
    </row>
    <row r="113" spans="1:17" ht="12" outlineLevel="1">
      <c r="A113" s="73"/>
      <c r="B113" s="74"/>
      <c r="C113" s="77" t="s">
        <v>164</v>
      </c>
      <c r="D113" s="51"/>
      <c r="E113" s="51"/>
      <c r="F113" s="74"/>
      <c r="G113" s="115">
        <f>Brauprotokoll!$I$6</f>
        <v>26</v>
      </c>
      <c r="O113" s="1" t="s">
        <v>165</v>
      </c>
      <c r="P113" s="2">
        <f>(G113+J116*System!$B$35)/(G113+J116*System!$B$22)</f>
        <v>0.9206703910614525</v>
      </c>
      <c r="Q113" s="123"/>
    </row>
    <row r="114" spans="3:18" ht="12" outlineLevel="1">
      <c r="C114" s="135" t="s">
        <v>179</v>
      </c>
      <c r="D114" s="51"/>
      <c r="E114" s="51"/>
      <c r="F114" s="74"/>
      <c r="Q114" s="123"/>
      <c r="R114" s="69" t="s">
        <v>106</v>
      </c>
    </row>
    <row r="115" spans="1:18" ht="12" outlineLevel="1">
      <c r="A115" s="73"/>
      <c r="B115" s="74"/>
      <c r="C115" t="s">
        <v>155</v>
      </c>
      <c r="D115" s="51"/>
      <c r="F115" s="74"/>
      <c r="G115" s="116"/>
      <c r="H115" s="15">
        <f>K117+(System!$B$35*$J$116+System!$D$10)*(K117-K116)/I115</f>
        <v>80.02695652173912</v>
      </c>
      <c r="I115" s="133">
        <v>12</v>
      </c>
      <c r="J115" s="137" t="s">
        <v>135</v>
      </c>
      <c r="O115" t="s">
        <v>168</v>
      </c>
      <c r="P115" s="9"/>
      <c r="Q115" s="9"/>
      <c r="R115" s="69">
        <v>0</v>
      </c>
    </row>
    <row r="116" spans="1:18" ht="12" outlineLevel="1">
      <c r="A116" s="73">
        <f>Brauprotokoll!$D$2</f>
        <v>41210</v>
      </c>
      <c r="B116" s="78">
        <v>0.5277777777777778</v>
      </c>
      <c r="C116" s="77" t="s">
        <v>154</v>
      </c>
      <c r="D116" s="51"/>
      <c r="F116" s="74">
        <v>0.003472222222222222</v>
      </c>
      <c r="H116" s="8"/>
      <c r="J116" s="114">
        <f>Brauprotokoll!$C$22</f>
        <v>7.1</v>
      </c>
      <c r="K116" s="163">
        <v>22</v>
      </c>
      <c r="L116" t="s">
        <v>176</v>
      </c>
      <c r="N116" s="1" t="s">
        <v>7</v>
      </c>
      <c r="O116" s="1" t="s">
        <v>133</v>
      </c>
      <c r="P116" s="122" t="s">
        <v>166</v>
      </c>
      <c r="Q116" s="9"/>
      <c r="R116" s="69">
        <v>0</v>
      </c>
    </row>
    <row r="117" spans="1:18" ht="12" outlineLevel="1">
      <c r="A117" s="73">
        <f>Brauprotokoll!$D$2</f>
        <v>41210</v>
      </c>
      <c r="B117" s="74">
        <f>A116+B116+F116</f>
        <v>41210.53125</v>
      </c>
      <c r="C117" s="77" t="s">
        <v>163</v>
      </c>
      <c r="D117" s="51"/>
      <c r="E117" s="51"/>
      <c r="F117" s="78">
        <v>0.041666666666666664</v>
      </c>
      <c r="H117" s="108"/>
      <c r="J117" s="116">
        <f>I115+J116*System!B22</f>
        <v>17.325</v>
      </c>
      <c r="K117" s="164">
        <v>64</v>
      </c>
      <c r="L117" s="168">
        <f>I115/J116</f>
        <v>1.6901408450704227</v>
      </c>
      <c r="P117" s="2">
        <f>System!$D$10+I115+J116*System!$B$35</f>
        <v>16.57913043478261</v>
      </c>
      <c r="Q117" s="9"/>
      <c r="R117" s="69">
        <f>B117-$A$116-$B$116</f>
        <v>0.00347222222222221</v>
      </c>
    </row>
    <row r="118" spans="1:18" ht="12" outlineLevel="1">
      <c r="A118" s="141">
        <f>Brauprotokoll!$D$2</f>
        <v>41210</v>
      </c>
      <c r="B118" s="142">
        <f>B117</f>
        <v>41210.53125</v>
      </c>
      <c r="C118" s="143" t="s">
        <v>180</v>
      </c>
      <c r="D118" s="144"/>
      <c r="E118" s="144"/>
      <c r="F118" s="142">
        <f>(H119-H118)*O118*System!$B$31/System!$B$17/60/1440</f>
        <v>0.00047070961097180227</v>
      </c>
      <c r="G118" s="145">
        <f>G113-I115</f>
        <v>14</v>
      </c>
      <c r="H118" s="146">
        <f>IF(N118&gt;H119,H119,N118)</f>
        <v>88.56202790597251</v>
      </c>
      <c r="I118" s="147"/>
      <c r="J118" s="145"/>
      <c r="K118" s="147"/>
      <c r="N118" s="108">
        <f>H115+F116*System!$B$17*60*1440/O118/System!$B$31</f>
        <v>88.56202790597251</v>
      </c>
      <c r="O118" s="138">
        <f>System!$B$10+G118</f>
        <v>14.916666666666666</v>
      </c>
      <c r="P118" s="9"/>
      <c r="Q118" s="9"/>
      <c r="R118" s="69">
        <f aca="true" t="shared" si="4" ref="R118:R134">B118-$A$116-$B$116</f>
        <v>0.00347222222222221</v>
      </c>
    </row>
    <row r="119" spans="1:18" ht="12" outlineLevel="1">
      <c r="A119" s="141">
        <f>Brauprotokoll!$D$2</f>
        <v>41210</v>
      </c>
      <c r="B119" s="142">
        <f>B117+F117</f>
        <v>41210.572916666664</v>
      </c>
      <c r="C119" s="143" t="s">
        <v>181</v>
      </c>
      <c r="D119" s="144"/>
      <c r="E119" s="144"/>
      <c r="F119" s="142">
        <f>IF(I119&gt;0,5/1440,0)</f>
        <v>0.003472222222222222</v>
      </c>
      <c r="G119" s="148"/>
      <c r="H119" s="149">
        <f>IF(I119&gt;0,K120+P117*(K120-K119)/I119,K119)</f>
        <v>89.71907946366856</v>
      </c>
      <c r="I119" s="133">
        <v>14</v>
      </c>
      <c r="J119" s="151" t="s">
        <v>135</v>
      </c>
      <c r="K119" s="152">
        <f>K117-(K117-$E$112)*(1-EXP(-F117*1440/(System!$D$11*P117)))</f>
        <v>58.881822124983536</v>
      </c>
      <c r="O119" s="2"/>
      <c r="P119" s="9"/>
      <c r="Q119" s="9"/>
      <c r="R119" s="69">
        <f t="shared" si="4"/>
        <v>0.04513888888646356</v>
      </c>
    </row>
    <row r="120" spans="1:18" ht="12" outlineLevel="1">
      <c r="A120" s="141">
        <f>Brauprotokoll!$D$2</f>
        <v>41210</v>
      </c>
      <c r="B120" s="142">
        <f aca="true" t="shared" si="5" ref="B120:B134">B119+F119</f>
        <v>41210.57638888888</v>
      </c>
      <c r="C120" s="143" t="s">
        <v>163</v>
      </c>
      <c r="D120" s="144"/>
      <c r="E120" s="144"/>
      <c r="F120" s="78">
        <v>0.041666666666666664</v>
      </c>
      <c r="G120" s="148"/>
      <c r="H120" s="147"/>
      <c r="I120" s="147"/>
      <c r="J120" s="145">
        <f>J117+I119</f>
        <v>31.325</v>
      </c>
      <c r="K120" s="164">
        <v>73</v>
      </c>
      <c r="L120" s="168">
        <f>L117+I119/J116</f>
        <v>3.661971830985916</v>
      </c>
      <c r="P120" s="9">
        <f>P117+I119</f>
        <v>30.57913043478261</v>
      </c>
      <c r="Q120" s="9"/>
      <c r="R120" s="69">
        <f t="shared" si="4"/>
        <v>0.04861111110545202</v>
      </c>
    </row>
    <row r="121" spans="1:18" ht="12" outlineLevel="1">
      <c r="A121" s="73">
        <f>Brauprotokoll!$D$2</f>
        <v>41210</v>
      </c>
      <c r="B121" s="74">
        <f>B120</f>
        <v>41210.57638888888</v>
      </c>
      <c r="C121" s="77" t="s">
        <v>180</v>
      </c>
      <c r="D121" s="51"/>
      <c r="E121" s="51"/>
      <c r="F121" s="74">
        <f>(H122-H121)*O121*System!$B$31/System!$B$17/60/1440</f>
        <v>0</v>
      </c>
      <c r="G121" s="115">
        <f>G118-I119</f>
        <v>0</v>
      </c>
      <c r="H121" s="8">
        <f>IF(N121&gt;H122,H122,N121)</f>
        <v>69.47497679445063</v>
      </c>
      <c r="J121" s="116"/>
      <c r="N121" s="108">
        <f>H119+F119*System!$B$17*60*1440/O121/System!$B$31</f>
        <v>228.60796835255746</v>
      </c>
      <c r="O121" s="138">
        <f>System!$B$10+G121</f>
        <v>0.9166666666666666</v>
      </c>
      <c r="P121" s="9"/>
      <c r="Q121" s="9"/>
      <c r="R121" s="69">
        <f t="shared" si="4"/>
        <v>0.04861111110545202</v>
      </c>
    </row>
    <row r="122" spans="1:18" ht="12" outlineLevel="1">
      <c r="A122" s="73">
        <f>Brauprotokoll!$D$2</f>
        <v>41210</v>
      </c>
      <c r="B122" s="74">
        <f>B120+F120</f>
        <v>41210.61805555555</v>
      </c>
      <c r="C122" s="77" t="s">
        <v>182</v>
      </c>
      <c r="D122" s="51"/>
      <c r="E122" s="51"/>
      <c r="F122" s="74">
        <f>IF(I122&gt;0,5/1440,0)</f>
        <v>0</v>
      </c>
      <c r="H122" s="15">
        <f>IF(I122&gt;0,K123+P120*(K123-K122)/I122,K122)</f>
        <v>69.47497679445063</v>
      </c>
      <c r="I122" s="156">
        <f>G121</f>
        <v>0</v>
      </c>
      <c r="J122" s="137" t="s">
        <v>135</v>
      </c>
      <c r="K122" s="50">
        <f>IF(K120,K120-(K120-$E$112)*(1-EXP(-F120*1440/(System!$D$11*P120))),K119)</f>
        <v>69.47497679445063</v>
      </c>
      <c r="M122" s="2"/>
      <c r="O122" s="68"/>
      <c r="P122" s="9"/>
      <c r="Q122" s="9"/>
      <c r="R122" s="69">
        <f t="shared" si="4"/>
        <v>0.09027777776969337</v>
      </c>
    </row>
    <row r="123" spans="1:18" ht="12" outlineLevel="1">
      <c r="A123" s="73">
        <f>Brauprotokoll!$D$2</f>
        <v>41210</v>
      </c>
      <c r="B123" s="74">
        <f t="shared" si="5"/>
        <v>41210.61805555555</v>
      </c>
      <c r="C123" s="77" t="s">
        <v>163</v>
      </c>
      <c r="D123" s="51"/>
      <c r="E123" s="51"/>
      <c r="F123" s="78"/>
      <c r="G123" s="115"/>
      <c r="H123" s="8">
        <f>K123</f>
        <v>0</v>
      </c>
      <c r="J123" s="116">
        <f>J120+I122</f>
        <v>31.325</v>
      </c>
      <c r="K123" s="163"/>
      <c r="L123" s="168">
        <f>L120+I122/J116</f>
        <v>3.661971830985916</v>
      </c>
      <c r="P123" s="9">
        <f>P120+I122</f>
        <v>30.57913043478261</v>
      </c>
      <c r="Q123" s="9"/>
      <c r="R123" s="69">
        <f t="shared" si="4"/>
        <v>0.09027777776969337</v>
      </c>
    </row>
    <row r="124" spans="1:18" ht="12" outlineLevel="1">
      <c r="A124" s="141">
        <f>Brauprotokoll!$D$2</f>
        <v>41210</v>
      </c>
      <c r="B124" s="142">
        <f t="shared" si="5"/>
        <v>41210.61805555555</v>
      </c>
      <c r="C124" s="143" t="s">
        <v>161</v>
      </c>
      <c r="D124" s="144"/>
      <c r="E124" s="144"/>
      <c r="F124" s="142">
        <f>IF(K129&gt;K128,(H125-H124)*O124*System!$B$31/System!$B$17/60/1440,0)</f>
        <v>0</v>
      </c>
      <c r="G124" s="153">
        <f>G128+System!$B$19*F127*24</f>
        <v>0</v>
      </c>
      <c r="H124" s="146">
        <f>K124</f>
        <v>69.47497679445063</v>
      </c>
      <c r="I124" s="150">
        <f>G124</f>
        <v>0</v>
      </c>
      <c r="J124" s="151" t="s">
        <v>160</v>
      </c>
      <c r="K124" s="152">
        <f>IF(K123,K123-(K123-$E$112)*(1-EXP(-F123*1440/(System!$D$11*P123))),K122)</f>
        <v>69.47497679445063</v>
      </c>
      <c r="O124" s="138">
        <f>System!$B$10+IF(ISERROR(G124),1,G124)*$P$113</f>
        <v>0.9166666666666666</v>
      </c>
      <c r="P124" s="9"/>
      <c r="Q124" s="9"/>
      <c r="R124" s="69">
        <f t="shared" si="4"/>
        <v>0.09027777776969337</v>
      </c>
    </row>
    <row r="125" spans="1:18" ht="12" outlineLevel="1">
      <c r="A125" s="141">
        <f>Brauprotokoll!$D$2</f>
        <v>41210</v>
      </c>
      <c r="B125" s="142">
        <f t="shared" si="5"/>
        <v>41210.61805555555</v>
      </c>
      <c r="C125" s="143" t="s">
        <v>156</v>
      </c>
      <c r="D125" s="144"/>
      <c r="E125" s="144"/>
      <c r="F125" s="78"/>
      <c r="G125" s="148"/>
      <c r="H125" s="163"/>
      <c r="I125" s="147"/>
      <c r="J125" s="145">
        <f>J123-I124</f>
        <v>31.325</v>
      </c>
      <c r="K125" s="147"/>
      <c r="P125" s="9">
        <f>P123-IF(ISERROR(G124),1,G124)*$P$113</f>
        <v>30.57913043478261</v>
      </c>
      <c r="Q125" s="9"/>
      <c r="R125" s="69">
        <f t="shared" si="4"/>
        <v>0.09027777776969337</v>
      </c>
    </row>
    <row r="126" spans="1:18" ht="12" outlineLevel="1">
      <c r="A126" s="141">
        <f>Brauprotokoll!$D$2</f>
        <v>41210</v>
      </c>
      <c r="B126" s="142">
        <f t="shared" si="5"/>
        <v>41210.61805555555</v>
      </c>
      <c r="C126" s="143" t="s">
        <v>158</v>
      </c>
      <c r="D126" s="144"/>
      <c r="E126" s="144"/>
      <c r="F126" s="142">
        <f>IF(K129&gt;K128,(H127-H126)*O124*System!$B$31/System!$B$17/60/1440,0)</f>
        <v>0</v>
      </c>
      <c r="G126" s="148"/>
      <c r="H126" s="146">
        <f>H125-(H125-$E$57)*(1-EXP(-F125*1440/(System!$B$11*O124)))</f>
        <v>0</v>
      </c>
      <c r="I126" s="147"/>
      <c r="J126" s="145"/>
      <c r="K126" s="147"/>
      <c r="P126" s="9"/>
      <c r="Q126" s="9"/>
      <c r="R126" s="69">
        <f t="shared" si="4"/>
        <v>0.09027777776969337</v>
      </c>
    </row>
    <row r="127" spans="1:18" ht="12" outlineLevel="1">
      <c r="A127" s="141">
        <f>Brauprotokoll!$D$2</f>
        <v>41210</v>
      </c>
      <c r="B127" s="142">
        <f t="shared" si="5"/>
        <v>41210.61805555555</v>
      </c>
      <c r="C127" s="143" t="s">
        <v>157</v>
      </c>
      <c r="D127" s="144"/>
      <c r="E127" s="144"/>
      <c r="F127" s="78"/>
      <c r="G127" s="148"/>
      <c r="H127" s="163"/>
      <c r="I127" s="147"/>
      <c r="J127" s="145"/>
      <c r="K127" s="147"/>
      <c r="O127" s="1"/>
      <c r="P127" s="2"/>
      <c r="Q127" s="9"/>
      <c r="R127" s="69">
        <f t="shared" si="4"/>
        <v>0.09027777776969337</v>
      </c>
    </row>
    <row r="128" spans="1:18" ht="12" outlineLevel="1">
      <c r="A128" s="141">
        <f>Brauprotokoll!$D$2</f>
        <v>41210</v>
      </c>
      <c r="B128" s="142">
        <f t="shared" si="5"/>
        <v>41210.61805555555</v>
      </c>
      <c r="C128" s="143" t="s">
        <v>159</v>
      </c>
      <c r="D128" s="144"/>
      <c r="E128" s="144"/>
      <c r="F128" s="142">
        <f>IF(K129&gt;K128,5/1440,0)</f>
        <v>0</v>
      </c>
      <c r="G128" s="153">
        <f>IF(K129&gt;K128,(J129+System!$D$10)*(K129-K128)/(H127-K128),0)</f>
        <v>0</v>
      </c>
      <c r="H128" s="146">
        <f>H127</f>
        <v>0</v>
      </c>
      <c r="I128" s="154" t="s">
        <v>135</v>
      </c>
      <c r="J128" s="147"/>
      <c r="K128" s="152">
        <f>K124-(K124-$E$112)*(1-EXP(-SUM(F124:F127)*1440/(System!$D$11*P125)))</f>
        <v>69.47497679445063</v>
      </c>
      <c r="O128" s="122"/>
      <c r="P128" s="9"/>
      <c r="Q128" s="9"/>
      <c r="R128" s="69">
        <f t="shared" si="4"/>
        <v>0.09027777776969337</v>
      </c>
    </row>
    <row r="129" spans="1:18" ht="12" outlineLevel="1">
      <c r="A129" s="141">
        <f>Brauprotokoll!$D$2</f>
        <v>41210</v>
      </c>
      <c r="B129" s="142">
        <f t="shared" si="5"/>
        <v>41210.61805555555</v>
      </c>
      <c r="C129" s="143" t="s">
        <v>163</v>
      </c>
      <c r="D129" s="144"/>
      <c r="E129" s="144"/>
      <c r="F129" s="78"/>
      <c r="G129" s="155"/>
      <c r="H129" s="146">
        <f>K129</f>
        <v>0</v>
      </c>
      <c r="I129" s="147"/>
      <c r="J129" s="145">
        <f>J123-F127*24*System!$B$19</f>
        <v>31.325</v>
      </c>
      <c r="K129" s="163"/>
      <c r="L129" s="8"/>
      <c r="O129" s="1"/>
      <c r="P129" s="9">
        <f>P123-F127*24*System!B19</f>
        <v>30.57913043478261</v>
      </c>
      <c r="R129" s="69">
        <f t="shared" si="4"/>
        <v>0.09027777776969337</v>
      </c>
    </row>
    <row r="130" spans="1:18" ht="12" outlineLevel="1">
      <c r="A130" s="73">
        <f>Brauprotokoll!$D$2</f>
        <v>41210</v>
      </c>
      <c r="B130" s="74">
        <f t="shared" si="5"/>
        <v>41210.61805555555</v>
      </c>
      <c r="C130" s="77" t="s">
        <v>162</v>
      </c>
      <c r="D130" s="51"/>
      <c r="E130" s="51"/>
      <c r="F130" s="74">
        <f>IF(K133&gt;K132,(H131-H130)*O130*System!$B$31/System!$B$17/60/1440,0)</f>
        <v>0</v>
      </c>
      <c r="G130" s="136">
        <f>G132+System!$B$19*F131*24</f>
        <v>0</v>
      </c>
      <c r="H130" s="8">
        <f>K130</f>
        <v>69.47497679445063</v>
      </c>
      <c r="I130" s="121">
        <f>G130</f>
        <v>0</v>
      </c>
      <c r="J130" s="137" t="s">
        <v>160</v>
      </c>
      <c r="K130" s="50">
        <f>IF(K129,K129-(K129-$E$112)*(1-EXP(-F129*1440/(System!$D$11*P129))),K128)</f>
        <v>69.47497679445063</v>
      </c>
      <c r="L130" s="8"/>
      <c r="O130" s="138">
        <f>System!$B$10+IF(ISERROR(G130),1,G130)*$P$113</f>
        <v>0.9166666666666666</v>
      </c>
      <c r="P130" s="9"/>
      <c r="R130" s="69">
        <f t="shared" si="4"/>
        <v>0.09027777776969337</v>
      </c>
    </row>
    <row r="131" spans="1:18" ht="12" outlineLevel="1">
      <c r="A131" s="73">
        <f>Brauprotokoll!$D$2</f>
        <v>41210</v>
      </c>
      <c r="B131" s="74">
        <f t="shared" si="5"/>
        <v>41210.61805555555</v>
      </c>
      <c r="C131" s="77" t="s">
        <v>157</v>
      </c>
      <c r="D131" s="51"/>
      <c r="E131" s="51"/>
      <c r="F131" s="78"/>
      <c r="G131" s="124"/>
      <c r="H131" s="8">
        <f>IF(K133&gt;K132,H127,H130)</f>
        <v>69.47497679445063</v>
      </c>
      <c r="J131" s="116">
        <f>J129-I130</f>
        <v>31.325</v>
      </c>
      <c r="K131" s="50"/>
      <c r="L131" s="8"/>
      <c r="O131" s="1"/>
      <c r="P131" s="9">
        <f>P129-(IF(ISERROR(G130),1,G130)*$P$113)</f>
        <v>30.57913043478261</v>
      </c>
      <c r="R131" s="69">
        <f t="shared" si="4"/>
        <v>0.09027777776969337</v>
      </c>
    </row>
    <row r="132" spans="1:18" ht="12" outlineLevel="1">
      <c r="A132" s="73">
        <f>Brauprotokoll!$D$2</f>
        <v>41210</v>
      </c>
      <c r="B132" s="74">
        <f t="shared" si="5"/>
        <v>41210.61805555555</v>
      </c>
      <c r="C132" s="77" t="s">
        <v>159</v>
      </c>
      <c r="D132" s="51"/>
      <c r="E132" s="51"/>
      <c r="F132" s="74">
        <f>IF(K133&gt;K132,5/1440,0)</f>
        <v>0</v>
      </c>
      <c r="G132" s="136">
        <f>IF(K133&gt;K132,(J133+System!$D$10)*(K133-K132)/(H131-K132),0)</f>
        <v>0</v>
      </c>
      <c r="H132" s="8">
        <f>H131</f>
        <v>69.47497679445063</v>
      </c>
      <c r="I132" s="14" t="s">
        <v>135</v>
      </c>
      <c r="K132" s="50">
        <f>K130-(K130-$E$112)*(1-EXP(-(F130+F131)*1440/(System!$D$11*P131)))</f>
        <v>69.47497679445063</v>
      </c>
      <c r="L132" s="8"/>
      <c r="O132" s="1"/>
      <c r="P132" s="9"/>
      <c r="R132" s="69">
        <f t="shared" si="4"/>
        <v>0.09027777776969337</v>
      </c>
    </row>
    <row r="133" spans="1:18" ht="12" outlineLevel="1">
      <c r="A133" s="73">
        <f>Brauprotokoll!$D$2</f>
        <v>41210</v>
      </c>
      <c r="B133" s="74">
        <f t="shared" si="5"/>
        <v>41210.61805555555</v>
      </c>
      <c r="C133" s="77" t="s">
        <v>163</v>
      </c>
      <c r="D133" s="51"/>
      <c r="E133" s="51"/>
      <c r="F133" s="78"/>
      <c r="G133" s="116"/>
      <c r="H133" s="8">
        <f>IF(K133,K133,K132)</f>
        <v>69.47497679445063</v>
      </c>
      <c r="J133" s="116">
        <f>J129-F131*24*System!$B$19</f>
        <v>31.325</v>
      </c>
      <c r="K133" s="165"/>
      <c r="L133" s="108"/>
      <c r="P133" s="9">
        <f>P129-F131*24*System!B19</f>
        <v>30.57913043478261</v>
      </c>
      <c r="Q133" s="9"/>
      <c r="R133" s="69">
        <f t="shared" si="4"/>
        <v>0.09027777776969337</v>
      </c>
    </row>
    <row r="134" spans="1:18" ht="12" outlineLevel="1">
      <c r="A134" s="157">
        <f>Brauprotokoll!$D$2</f>
        <v>41210</v>
      </c>
      <c r="B134" s="158">
        <f t="shared" si="5"/>
        <v>41210.61805555555</v>
      </c>
      <c r="C134" s="159" t="s">
        <v>104</v>
      </c>
      <c r="D134" s="160"/>
      <c r="E134" s="160"/>
      <c r="F134" s="158">
        <f>A135+B135-B134</f>
        <v>0.045138888897781726</v>
      </c>
      <c r="G134" s="161"/>
      <c r="H134" s="160"/>
      <c r="I134" s="160"/>
      <c r="J134" s="161"/>
      <c r="K134" s="162">
        <f>IF(K133,K133-(K133-$E$112)*(1-EXP(-F133*1440/(System!$D$11*P133))),K132)</f>
        <v>69.47497679445063</v>
      </c>
      <c r="L134" s="49"/>
      <c r="M134" s="25"/>
      <c r="N134" s="25"/>
      <c r="O134" s="25"/>
      <c r="P134" s="27"/>
      <c r="Q134" s="27"/>
      <c r="R134" s="90">
        <f t="shared" si="4"/>
        <v>0.09027777776969337</v>
      </c>
    </row>
    <row r="135" spans="1:9" ht="12" outlineLevel="1">
      <c r="A135" s="73">
        <f>Brauprotokoll!$D$2</f>
        <v>41210</v>
      </c>
      <c r="B135" s="78">
        <v>0.6631944444444444</v>
      </c>
      <c r="C135" s="77" t="s">
        <v>105</v>
      </c>
      <c r="D135" s="51"/>
      <c r="E135" s="51"/>
      <c r="F135" s="166">
        <f>Brauprotokoll!$E$36/1440</f>
        <v>0.06944444444444445</v>
      </c>
      <c r="G135" s="117"/>
      <c r="H135" s="8">
        <f>H127</f>
        <v>0</v>
      </c>
      <c r="I135" s="8"/>
    </row>
    <row r="136" spans="1:9" ht="12" outlineLevel="1">
      <c r="A136" s="73">
        <f>Brauprotokoll!$D$2</f>
        <v>41210</v>
      </c>
      <c r="B136" s="74">
        <f>A135+B135+F135</f>
        <v>41210.73263888889</v>
      </c>
      <c r="C136" t="s">
        <v>82</v>
      </c>
      <c r="F136" s="74"/>
      <c r="H136" s="8"/>
      <c r="I136" s="8"/>
    </row>
    <row r="137" ht="12" outlineLevel="1"/>
    <row r="138" ht="12" outlineLevel="1"/>
    <row r="139" ht="12" outlineLevel="1"/>
    <row r="140" ht="12" outlineLevel="1"/>
    <row r="141" ht="12" outlineLevel="1"/>
    <row r="142" ht="12" outlineLevel="1"/>
    <row r="143" ht="12" outlineLevel="1"/>
    <row r="144" ht="12" outlineLevel="1"/>
    <row r="145" ht="12" outlineLevel="1"/>
    <row r="146" ht="12" outlineLevel="1"/>
    <row r="147" ht="12" outlineLevel="1"/>
    <row r="148" ht="12" outlineLevel="1"/>
    <row r="149" ht="12" outlineLevel="1"/>
    <row r="150" ht="12" outlineLevel="1"/>
    <row r="151" ht="12" outlineLevel="1"/>
    <row r="152" ht="12" outlineLevel="1"/>
    <row r="153" ht="12" outlineLevel="1"/>
    <row r="154" ht="12" outlineLevel="1"/>
    <row r="155" ht="12" outlineLevel="1"/>
    <row r="156" ht="12" outlineLevel="1"/>
    <row r="157" ht="12" outlineLevel="1"/>
    <row r="158" ht="12" outlineLevel="1"/>
    <row r="159" ht="12" outlineLevel="1"/>
    <row r="195" ht="12"/>
    <row r="196" ht="12"/>
    <row r="197" ht="12"/>
  </sheetData>
  <sheetProtection/>
  <mergeCells count="7">
    <mergeCell ref="A1:H2"/>
    <mergeCell ref="G110:H110"/>
    <mergeCell ref="J110:K110"/>
    <mergeCell ref="G55:H55"/>
    <mergeCell ref="J55:K55"/>
    <mergeCell ref="G8:H8"/>
    <mergeCell ref="J8:K8"/>
  </mergeCells>
  <dataValidations count="2">
    <dataValidation type="decimal" allowBlank="1" showInputMessage="1" showErrorMessage="1" errorTitle="Unzulässige Mengenangabe!" error="Die Eingegebene Menge ist im Kessel nicht verfügbar. Passen Sie den Hauptguß an!" sqref="I115 I119">
      <formula1>0</formula1>
      <formula2>G115</formula2>
    </dataValidation>
    <dataValidation type="time" operator="greaterThan" allowBlank="1" showInputMessage="1" showErrorMessage="1" errorTitle="Rastzeit erhöhen!" error="Die von Ihnen gewählte Rastzeit reicht nicht aus, um im Kessel das Infusionswasser für den nächsten Schritt vorzuwärmen!" sqref="F117 F120">
      <formula1>F118</formula1>
    </dataValidation>
  </dataValidations>
  <printOptions horizontalCentered="1" verticalCentered="1"/>
  <pageMargins left="0.7874015748031497" right="0" top="0.5905511811023623" bottom="0.5905511811023623" header="0.5118110236220472" footer="0.5118110236220472"/>
  <pageSetup horizontalDpi="300" verticalDpi="300" orientation="portrait" paperSize="9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16" sqref="E16"/>
    </sheetView>
  </sheetViews>
  <sheetFormatPr defaultColWidth="8.7109375" defaultRowHeight="12"/>
  <cols>
    <col min="1" max="1" width="42.7109375" style="1" customWidth="1"/>
    <col min="2" max="2" width="12.7109375" style="0" customWidth="1"/>
  </cols>
  <sheetData>
    <row r="1" ht="15.75">
      <c r="A1" s="7" t="s">
        <v>195</v>
      </c>
    </row>
    <row r="2" s="5" customFormat="1" ht="12.75">
      <c r="A2" s="4"/>
    </row>
    <row r="3" spans="1:5" s="5" customFormat="1" ht="12.75">
      <c r="A3" s="21"/>
      <c r="B3" s="22" t="s">
        <v>10</v>
      </c>
      <c r="C3" s="22"/>
      <c r="D3" s="24" t="s">
        <v>11</v>
      </c>
      <c r="E3" s="22"/>
    </row>
    <row r="4" spans="1:5" s="5" customFormat="1" ht="12.75">
      <c r="A4" s="94" t="s">
        <v>16</v>
      </c>
      <c r="B4" s="95"/>
      <c r="C4" s="95"/>
      <c r="D4" s="95"/>
      <c r="E4" s="95"/>
    </row>
    <row r="5" spans="1:5" ht="12">
      <c r="A5" s="1" t="s">
        <v>9</v>
      </c>
      <c r="B5" s="3">
        <v>20</v>
      </c>
      <c r="C5" t="s">
        <v>7</v>
      </c>
      <c r="D5" s="3">
        <v>22</v>
      </c>
      <c r="E5" t="s">
        <v>7</v>
      </c>
    </row>
    <row r="6" spans="1:5" ht="12">
      <c r="A6" s="1" t="s">
        <v>153</v>
      </c>
      <c r="B6" s="3">
        <v>22</v>
      </c>
      <c r="C6" t="s">
        <v>0</v>
      </c>
      <c r="D6" s="3">
        <v>40</v>
      </c>
      <c r="E6" t="s">
        <v>0</v>
      </c>
    </row>
    <row r="7" spans="1:5" ht="12">
      <c r="A7" s="1" t="s">
        <v>4</v>
      </c>
      <c r="B7" s="3">
        <v>70</v>
      </c>
      <c r="C7" t="s">
        <v>7</v>
      </c>
      <c r="D7" s="3">
        <v>70</v>
      </c>
      <c r="E7" t="s">
        <v>7</v>
      </c>
    </row>
    <row r="8" spans="1:5" ht="12">
      <c r="A8" s="1" t="s">
        <v>5</v>
      </c>
      <c r="B8" s="3">
        <v>68</v>
      </c>
      <c r="C8" t="s">
        <v>7</v>
      </c>
      <c r="D8" s="3">
        <v>68</v>
      </c>
      <c r="E8" t="s">
        <v>7</v>
      </c>
    </row>
    <row r="9" spans="1:5" ht="12">
      <c r="A9" s="1" t="s">
        <v>6</v>
      </c>
      <c r="B9" s="3">
        <v>65.5</v>
      </c>
      <c r="C9" t="s">
        <v>7</v>
      </c>
      <c r="D9" s="3">
        <v>65.5</v>
      </c>
      <c r="E9" t="s">
        <v>7</v>
      </c>
    </row>
    <row r="10" spans="1:5" ht="12">
      <c r="A10" s="1" t="s">
        <v>8</v>
      </c>
      <c r="B10" s="2">
        <f>B6*(B7-B8)/(B8-B5)</f>
        <v>0.9166666666666666</v>
      </c>
      <c r="C10" t="s">
        <v>2</v>
      </c>
      <c r="D10" s="2">
        <f>D6*(D7-D8)/(D8-D5)</f>
        <v>1.7391304347826086</v>
      </c>
      <c r="E10" s="12" t="s">
        <v>2</v>
      </c>
    </row>
    <row r="11" spans="1:5" ht="12">
      <c r="A11" s="1" t="s">
        <v>184</v>
      </c>
      <c r="B11" s="2">
        <f>-60/LN(1-(B8-B9)/(B8-B5))/(B6+B10)</f>
        <v>48.94833029791179</v>
      </c>
      <c r="C11" t="s">
        <v>185</v>
      </c>
      <c r="D11" s="2">
        <f>-60/LN(1-(D8-D9)/(D8-D5))/(D6+D10)</f>
        <v>25.72455633511054</v>
      </c>
      <c r="E11" t="s">
        <v>185</v>
      </c>
    </row>
    <row r="12" spans="2:4" ht="12">
      <c r="B12" s="2"/>
      <c r="D12" s="2"/>
    </row>
    <row r="13" spans="1:5" s="6" customFormat="1" ht="12.75">
      <c r="A13" s="94" t="s">
        <v>15</v>
      </c>
      <c r="B13" s="96"/>
      <c r="C13" s="96"/>
      <c r="D13" s="96"/>
      <c r="E13" s="96"/>
    </row>
    <row r="14" spans="1:3" ht="12">
      <c r="A14" s="1" t="s">
        <v>183</v>
      </c>
      <c r="B14" s="3">
        <v>22</v>
      </c>
      <c r="C14" t="s">
        <v>0</v>
      </c>
    </row>
    <row r="15" spans="1:3" ht="12">
      <c r="A15" s="1" t="s">
        <v>3</v>
      </c>
      <c r="B15" s="2">
        <f>B14+B10</f>
        <v>22.916666666666668</v>
      </c>
      <c r="C15" t="s">
        <v>2</v>
      </c>
    </row>
    <row r="16" spans="1:5" ht="12">
      <c r="A16" s="1" t="s">
        <v>196</v>
      </c>
      <c r="B16" s="3">
        <v>9</v>
      </c>
      <c r="C16" t="s">
        <v>98</v>
      </c>
      <c r="E16" s="234"/>
    </row>
    <row r="17" spans="1:3" ht="12">
      <c r="A17" s="1" t="s">
        <v>201</v>
      </c>
      <c r="B17" s="2">
        <f>10*B31*B15/(B16*60)</f>
        <v>1.7762538580246916</v>
      </c>
      <c r="C17" t="s">
        <v>1</v>
      </c>
    </row>
    <row r="18" spans="1:2" ht="12">
      <c r="A18" s="1" t="s">
        <v>200</v>
      </c>
      <c r="B18" s="181">
        <v>0.2</v>
      </c>
    </row>
    <row r="19" spans="1:3" ht="12">
      <c r="A19" s="1" t="s">
        <v>14</v>
      </c>
      <c r="B19" s="172">
        <f>(1-B18)*B17/B33</f>
        <v>2.267047161611441</v>
      </c>
      <c r="C19" t="s">
        <v>113</v>
      </c>
    </row>
    <row r="21" spans="1:5" ht="12.75">
      <c r="A21" s="170"/>
      <c r="B21" s="170" t="s">
        <v>186</v>
      </c>
      <c r="C21" s="57"/>
      <c r="D21" s="57"/>
      <c r="E21" s="57"/>
    </row>
    <row r="22" spans="1:3" ht="12">
      <c r="A22" s="1" t="s">
        <v>17</v>
      </c>
      <c r="B22">
        <v>0.75</v>
      </c>
      <c r="C22" t="s">
        <v>13</v>
      </c>
    </row>
    <row r="23" spans="1:3" ht="12">
      <c r="A23" s="1" t="s">
        <v>20</v>
      </c>
      <c r="B23" s="11">
        <v>7</v>
      </c>
      <c r="C23" t="s">
        <v>2</v>
      </c>
    </row>
    <row r="24" spans="1:3" ht="12">
      <c r="A24" s="1" t="s">
        <v>244</v>
      </c>
      <c r="B24" s="11">
        <v>20.3</v>
      </c>
      <c r="C24" t="s">
        <v>2</v>
      </c>
    </row>
    <row r="25" spans="1:3" ht="12">
      <c r="A25" s="1" t="s">
        <v>245</v>
      </c>
      <c r="B25" s="11">
        <v>4.4</v>
      </c>
      <c r="C25" t="s">
        <v>2</v>
      </c>
    </row>
    <row r="26" spans="1:3" ht="12">
      <c r="A26" s="1" t="s">
        <v>246</v>
      </c>
      <c r="B26" s="172">
        <f>(B24-B25)/B23</f>
        <v>2.2714285714285714</v>
      </c>
      <c r="C26" t="s">
        <v>247</v>
      </c>
    </row>
    <row r="27" spans="1:3" ht="12">
      <c r="A27" s="1" t="s">
        <v>29</v>
      </c>
      <c r="B27" s="3">
        <v>5</v>
      </c>
      <c r="C27" t="s">
        <v>30</v>
      </c>
    </row>
    <row r="28" spans="1:3" ht="13.5">
      <c r="A28" s="1" t="s">
        <v>18</v>
      </c>
      <c r="B28" s="2">
        <f>4*44.01/342.3</f>
        <v>0.5142857142857142</v>
      </c>
      <c r="C28" t="s">
        <v>112</v>
      </c>
    </row>
    <row r="29" spans="1:2" ht="12">
      <c r="A29" s="14" t="s">
        <v>187</v>
      </c>
      <c r="B29" s="64"/>
    </row>
    <row r="30" spans="1:3" ht="12">
      <c r="A30" s="1" t="s">
        <v>188</v>
      </c>
      <c r="B30">
        <v>18.015</v>
      </c>
      <c r="C30" t="s">
        <v>189</v>
      </c>
    </row>
    <row r="31" spans="1:3" ht="12">
      <c r="A31" s="1" t="s">
        <v>190</v>
      </c>
      <c r="B31">
        <v>4.1855</v>
      </c>
      <c r="C31" t="s">
        <v>193</v>
      </c>
    </row>
    <row r="32" spans="1:3" ht="12">
      <c r="A32" s="1" t="s">
        <v>191</v>
      </c>
      <c r="B32" s="218">
        <v>40.651</v>
      </c>
      <c r="C32" t="s">
        <v>194</v>
      </c>
    </row>
    <row r="33" spans="2:3" ht="12">
      <c r="B33" s="171">
        <f>B32/B30*1000/3600</f>
        <v>0.6268079069910877</v>
      </c>
      <c r="C33" t="s">
        <v>192</v>
      </c>
    </row>
    <row r="34" spans="1:3" ht="13.5">
      <c r="A34" s="1" t="s">
        <v>198</v>
      </c>
      <c r="B34" s="171">
        <v>0.9982</v>
      </c>
      <c r="C34" t="s">
        <v>199</v>
      </c>
    </row>
    <row r="35" spans="1:2" ht="12">
      <c r="A35" s="1" t="s">
        <v>12</v>
      </c>
      <c r="B35" s="11">
        <v>0.4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 FINE PAPER Halein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Hanghofer</dc:creator>
  <cp:keywords/>
  <dc:description/>
  <cp:lastModifiedBy>ralf</cp:lastModifiedBy>
  <cp:lastPrinted>2012-10-02T21:30:46Z</cp:lastPrinted>
  <dcterms:created xsi:type="dcterms:W3CDTF">1999-08-19T10:54:29Z</dcterms:created>
  <dcterms:modified xsi:type="dcterms:W3CDTF">2012-11-04T15:21:30Z</dcterms:modified>
  <cp:category/>
  <cp:version/>
  <cp:contentType/>
  <cp:contentStatus/>
</cp:coreProperties>
</file>